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3040" windowHeight="9275" tabRatio="500" firstSheet="5" activeTab="10"/>
  </bookViews>
  <sheets>
    <sheet name="Orientações" sheetId="1" state="hidden" r:id="rId1"/>
    <sheet name="Servente" sheetId="2" state="hidden" r:id="rId2"/>
    <sheet name="Auxiliar Administrativo" sheetId="11" r:id="rId3"/>
    <sheet name="Portaria" sheetId="6" r:id="rId4"/>
    <sheet name="Motorista Interestadual" sheetId="8" r:id="rId5"/>
    <sheet name="Eletricista" sheetId="7" r:id="rId6"/>
    <sheet name="Diárias" sheetId="15" r:id="rId7"/>
    <sheet name="Uniformes" sheetId="12" r:id="rId8"/>
    <sheet name="Materiais e Equipamentos" sheetId="14" r:id="rId9"/>
    <sheet name="EPC" sheetId="16" r:id="rId10"/>
    <sheet name="RESUMO" sheetId="13" r:id="rId11"/>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<sst xmlns="http://schemas.openxmlformats.org/spreadsheetml/2006/main" count="1806" uniqueCount="479">
  <si>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</si>
  <si>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</si>
  <si>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</si>
  <si>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</si>
  <si>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</si>
  <si>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</si>
  <si>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</si>
  <si>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</si>
  <si>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</si>
  <si>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</si>
  <si>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</si>
  <si>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</si>
  <si>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</si>
  <si>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</si>
  <si>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</si>
  <si>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</si>
  <si>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</si>
  <si>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</si>
  <si>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</si>
  <si>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</si>
  <si>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</si>
  <si>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</si>
  <si>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</si>
  <si>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</si>
  <si>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</si>
  <si>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</si>
  <si>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</si>
  <si>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</si>
  <si>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</si>
  <si>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</si>
  <si>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</si>
  <si>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</si>
  <si>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</si>
  <si>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</si>
  <si>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</si>
  <si>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</si>
  <si>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</si>
  <si>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</si>
  <si>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</si>
  <si>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</si>
  <si>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</si>
  <si>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</si>
  <si>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</si>
  <si>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</si>
  <si>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</si>
  <si>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</si>
  <si>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</si>
  <si>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</si>
  <si>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</si>
  <si>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</si>
  <si>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</si>
  <si>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</si>
  <si>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</si>
  <si>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</si>
  <si>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</si>
  <si>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</si>
  <si>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</si>
  <si>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</si>
  <si>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</si>
  <si>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</si>
  <si>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</si>
  <si>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</si>
  <si>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</si>
  <si>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</si>
  <si>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</si>
  <si>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</si>
  <si>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</si>
  <si>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</si>
  <si>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</si>
  <si>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</si>
  <si>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</si>
  <si>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</si>
  <si>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</si>
  <si>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</si>
  <si>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</si>
  <si>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</si>
  <si>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</si>
  <si>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</si>
  <si>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</si>
  <si>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</si>
  <si>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</si>
  <si>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</si>
  <si>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</si>
  <si>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</si>
  <si>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</si>
  <si>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</si>
  <si>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</si>
  <si>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</si>
  <si>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</si>
  <si>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</si>
  <si>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</si>
  <si>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</si>
  <si>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</si>
  <si>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</si>
  <si>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</si>
  <si>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</si>
  <si>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</si>
  <si>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</si>
  <si>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</si>
  <si>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</si>
  <si>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</si>
  <si>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</si>
  <si>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</si>
  <si>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</si>
  <si>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</si>
  <si>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</si>
  <si>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</si>
  <si>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</si>
  <si>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</si>
  <si>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</si>
  <si>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</si>
  <si>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</si>
  <si>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</si>
  <si>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</si>
  <si>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</si>
  <si>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</si>
  <si>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</si>
  <si>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</si>
  <si>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</si>
  <si>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</si>
  <si>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</si>
  <si>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</si>
  <si>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</si>
  <si>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</si>
  <si>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</si>
  <si>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</si>
  <si>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</si>
  <si>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</si>
  <si>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</si>
  <si>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</si>
  <si>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</si>
  <si>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</si>
  <si>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</si>
  <si>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</si>
  <si>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</si>
  <si>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</si>
  <si>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</si>
  <si>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</si>
  <si>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</si>
  <si>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</si>
  <si>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</si>
  <si>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</si>
  <si>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</si>
  <si>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</si>
  <si>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</si>
  <si>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</si>
  <si>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</si>
  <si>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</si>
  <si>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</si>
  <si>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</si>
  <si>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</si>
  <si>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</si>
  <si>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</si>
  <si>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</si>
  <si>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</si>
  <si>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</si>
  <si>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</si>
  <si>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</si>
  <si>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</si>
  <si>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</si>
  <si>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</si>
  <si>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</si>
  <si>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</si>
  <si>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</si>
  <si>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</si>
  <si>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</si>
  <si>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</si>
  <si>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</si>
  <si>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</si>
  <si>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</si>
  <si>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</si>
  <si>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</si>
  <si>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</si>
  <si>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</si>
  <si>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</si>
  <si>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</si>
  <si>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</si>
  <si>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</si>
  <si>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</si>
  <si>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</si>
  <si>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</si>
  <si>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</si>
  <si>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</si>
  <si>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</si>
  <si>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</si>
  <si>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</si>
  <si>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</si>
  <si>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</si>
  <si>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</si>
  <si>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</si>
  <si>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</si>
  <si>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</si>
  <si>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</si>
  <si>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</si>
  <si>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</si>
  <si>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</si>
  <si>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</si>
  <si>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</si>
  <si>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</si>
  <si>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</si>
  <si>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</si>
  <si>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</si>
  <si>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</si>
  <si>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</si>
  <si>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</si>
  <si>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</si>
  <si>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</si>
  <si>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</si>
  <si>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</si>
  <si>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</si>
  <si>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</si>
  <si>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</si>
  <si>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</si>
  <si>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</si>
  <si>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</si>
  <si>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</si>
  <si>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</si>
  <si>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</si>
  <si>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</si>
  <si>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</si>
  <si>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</si>
  <si>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</si>
  <si>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</si>
  <si>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</si>
  <si>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</si>
  <si>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</si>
  <si>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</si>
  <si>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</si>
  <si>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</si>
  <si>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</si>
  <si>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</si>
  <si>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</si>
  <si>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Agente de Portaria</t>
  </si>
  <si>
    <t>Posto 12 x 36 horas</t>
  </si>
  <si>
    <t>5174-15</t>
  </si>
  <si>
    <t>GRUPO III</t>
  </si>
  <si>
    <t>VALOR TOTAL DO POSTO</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</si>
  <si>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</si>
  <si>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</si>
  <si>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</si>
  <si>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</si>
  <si>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</si>
  <si>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</si>
  <si>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</si>
  <si>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</si>
  <si>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</si>
  <si>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</si>
  <si>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</si>
  <si>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</si>
  <si>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DIÁRIAS</t>
  </si>
  <si>
    <t>QUANTIDADE ESTIMADA ANUAL DE DIÁRIAS</t>
  </si>
  <si>
    <t>VALOR UNITÁRIO</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</si>
  <si>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</si>
  <si>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</si>
  <si>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</si>
  <si>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</si>
  <si>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</si>
  <si>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</si>
  <si>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</si>
  <si>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</si>
  <si>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</si>
  <si>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</si>
  <si>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</si>
  <si>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</si>
  <si>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</si>
  <si>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</si>
  <si>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</si>
  <si>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</si>
  <si>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</si>
  <si>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</si>
  <si>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</si>
  <si>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</si>
  <si>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</si>
  <si>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</si>
  <si>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</si>
  <si>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</si>
  <si>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</si>
  <si>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</si>
  <si>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</si>
  <si>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</si>
  <si>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</si>
  <si>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</si>
  <si>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</si>
  <si>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</si>
  <si>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</si>
  <si>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</si>
  <si>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</si>
  <si>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</si>
  <si>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</si>
  <si>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</si>
  <si>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</si>
  <si>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</si>
  <si>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</si>
  <si>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</si>
  <si>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</si>
  <si>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PORTEIRO</t>
  </si>
  <si>
    <t>CAPA PARA CHUVA</t>
  </si>
  <si>
    <t>Capa para chuva, em material plástico, cor preta com faixas fluorescentes.</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</si>
  <si>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</si>
  <si>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</si>
  <si>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</si>
  <si>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</si>
  <si>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</si>
  <si>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</si>
  <si>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</si>
  <si>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</si>
  <si>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</si>
  <si>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</si>
  <si>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</si>
  <si>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</si>
  <si>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</si>
  <si>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</si>
  <si>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</si>
  <si>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</si>
  <si>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</si>
  <si>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</si>
  <si>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</si>
  <si>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</si>
  <si>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</si>
  <si>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</si>
  <si>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</si>
  <si>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</si>
  <si>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</si>
  <si>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</si>
  <si>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</si>
  <si>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</si>
  <si>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</si>
  <si>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</si>
  <si>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</si>
  <si>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</si>
  <si>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</si>
  <si>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</si>
  <si>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</si>
  <si>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</si>
  <si>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</si>
  <si>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</si>
  <si>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</si>
  <si>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</si>
  <si>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</si>
  <si>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</si>
  <si>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</si>
  <si>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</si>
  <si>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</si>
  <si>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</si>
  <si>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</si>
  <si>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</si>
  <si>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</si>
  <si>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</si>
  <si>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</si>
  <si>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</si>
  <si>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</si>
  <si>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</si>
  <si>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</si>
  <si>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</si>
  <si>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</si>
  <si>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</si>
  <si>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</si>
  <si>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</si>
  <si>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</si>
  <si>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</si>
  <si>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</si>
  <si>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</si>
  <si>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</si>
  <si>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</si>
  <si>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</si>
  <si>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</si>
  <si>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</si>
  <si>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</si>
  <si>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</si>
  <si>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</si>
  <si>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</si>
  <si>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</si>
  <si>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</si>
  <si>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</si>
  <si>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</si>
  <si>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</si>
  <si>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</si>
  <si>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</si>
  <si>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</si>
  <si>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</si>
  <si>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</si>
  <si>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</si>
  <si>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</si>
  <si>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</si>
  <si>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</si>
  <si>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</si>
  <si>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</si>
  <si>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</si>
  <si>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</si>
  <si>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</si>
  <si>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</si>
  <si>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</si>
  <si>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</si>
  <si>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</si>
  <si>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</si>
  <si>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</si>
  <si>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</si>
  <si>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</si>
  <si>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</si>
  <si>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</si>
  <si>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</si>
  <si>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</si>
  <si>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</si>
  <si>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</si>
  <si>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</si>
  <si>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</si>
  <si>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</si>
  <si>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</si>
  <si>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</si>
  <si>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</si>
  <si>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</si>
  <si>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</si>
  <si>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</si>
  <si>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</si>
  <si>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</si>
  <si>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</si>
  <si>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</si>
  <si>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</si>
  <si>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</si>
  <si>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</si>
  <si>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</si>
  <si>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</si>
  <si>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</si>
  <si>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</si>
  <si>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</si>
  <si>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</si>
  <si>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</si>
  <si>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</si>
  <si>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</si>
  <si>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</si>
  <si>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</si>
  <si>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</si>
  <si>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</si>
  <si>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</si>
  <si>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</si>
  <si>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</si>
  <si>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Materiais - Posto de Serviços de Agente de Portaria</t>
  </si>
  <si>
    <t>Peça</t>
  </si>
  <si>
    <t>Valor Médio Unitário (R$)</t>
  </si>
  <si>
    <t>Quantidade Anual</t>
  </si>
  <si>
    <t>Valor Anual/ Empregado (R$)</t>
  </si>
  <si>
    <t>Valor Mensal/ Empregado</t>
  </si>
  <si>
    <t>Livro de ocorrências</t>
  </si>
  <si>
    <t>Livro Termo de Ocorrência, capa dura, medindo aproximadamente 22x33 cm, com 50 folhas.</t>
  </si>
  <si>
    <t>Caneta esferográfica</t>
  </si>
  <si>
    <t>Caneta esferográfica, material plástico, ponteira esfera de tugstênio, tipo escrita média, cor tinta AZUL, características adicionais: atóxica, corpo cilindrico</t>
  </si>
  <si>
    <t>Prancheta</t>
  </si>
  <si>
    <t>PRANCHETA em acrílico, com prendedor metálico, formato oficio 2, dimensões 216 x 330 mm</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</si>
  <si>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</si>
  <si>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</si>
  <si>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</si>
  <si>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</si>
  <si>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</si>
  <si>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</si>
  <si>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</si>
  <si>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</si>
  <si>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</si>
  <si>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</si>
  <si>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</si>
  <si>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</si>
  <si>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</si>
  <si>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</si>
  <si>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</si>
  <si>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</si>
  <si>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</si>
  <si>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</si>
  <si>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</si>
  <si>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</si>
  <si>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</si>
  <si>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</si>
  <si>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</si>
  <si>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</si>
  <si>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</si>
  <si>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AUXILIAR ADMINISTRATIVO - CBO: 4110-10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</si>
  <si>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</si>
  <si>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PORTARIA - CBO: 5174-15</t>
    </r>
    <r>
      <rPr>
        <sz val="11"/>
        <color theme="1"/>
        <rFont val="Calibri"/>
        <charset val="134"/>
        <scheme val="minor"/>
      </rPr>
      <t>, em jornada de 12 (doze) horas diurnas, de segunda-feira a domingo, envolvendo 2 (dois) agentes de portarias, em turnos de 12 (doze) x 36 (trinta e seis) horas.</t>
    </r>
  </si>
  <si>
    <r>
      <rPr>
        <sz val="11"/>
        <color theme="1"/>
        <rFont val="Calibri"/>
        <charset val="134"/>
        <scheme val="minor"/>
      </rPr>
      <t xml:space="preserve">PRESTAÇÃO DE SERVIÇOS DE APOIO ADMINISTRATIVO - Posto de serviços: </t>
    </r>
    <r>
      <rPr>
        <b/>
        <sz val="11"/>
        <color theme="1"/>
        <rFont val="Calibri"/>
        <charset val="134"/>
        <scheme val="minor"/>
      </rPr>
      <t>MOTORISTA INTERISTADUAL - CBO: 7823 – 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</si>
  <si>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</si>
  <si>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PAGAMENTO DE DIÁRIAS NACONAIS</t>
  </si>
</sst>
</file>

<file path=xl/styles.xml><?xml version="1.0" encoding="utf-8"?>
<styleSheet xmlns="http://schemas.openxmlformats.org/spreadsheetml/2006/main">
  <numFmts count="13">
    <numFmt numFmtId="176" formatCode="_-* #,##0.00_-;\-* #,##0.00_-;_-* &quot;-&quot;??_-;_-@_-"/>
    <numFmt numFmtId="177" formatCode="_-&quot;R$ &quot;* #,##0.00_-;&quot;-R$ &quot;* #,##0.00_-;_-&quot;R$ &quot;* \-??_-;_-@_-"/>
    <numFmt numFmtId="178" formatCode="_-&quot;R$&quot;* #,##0_-;\-&quot;R$&quot;* #,##0_-;_-&quot;R$&quot;* &quot;-&quot;_-;_-@_-"/>
    <numFmt numFmtId="179" formatCode="_-* #,##0_-;\-* #,##0_-;_-* &quot;-&quot;_-;_-@_-"/>
    <numFmt numFmtId="180" formatCode="&quot;R$&quot;\ #,##0.00_);[Red]\(&quot;R$&quot;\ #,##0.00\)"/>
    <numFmt numFmtId="181" formatCode="&quot;R$&quot;#,##0.00_);[Red]\(&quot;R$&quot;#,##0.00\)"/>
    <numFmt numFmtId="182" formatCode="&quot;R$&quot;\ #,##0.00"/>
    <numFmt numFmtId="183" formatCode="_-&quot;R$&quot;* #,##0.00_-;\-&quot;R$&quot;* #,##0.00_-;_-&quot;R$&quot;* &quot;-&quot;??_-;_-@_-"/>
    <numFmt numFmtId="184" formatCode="&quot;R$&quot;#,##0.00_);[Red]&quot;(R$&quot;#,##0.00\)"/>
    <numFmt numFmtId="185" formatCode="0.0000_ "/>
    <numFmt numFmtId="186" formatCode="0.00_ "/>
    <numFmt numFmtId="187" formatCode="&quot;R$ &quot;#,##0.00"/>
    <numFmt numFmtId="188" formatCode="&quot;R$&quot;#,##0.00"/>
  </numFmts>
  <fonts count="68">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i/>
      <sz val="11"/>
      <color theme="0"/>
      <name val="Arial"/>
      <charset val="134"/>
    </font>
    <font>
      <b/>
      <i/>
      <sz val="11"/>
      <color rgb="FF000000"/>
      <name val="Arial"/>
      <charset val="134"/>
    </font>
    <font>
      <b/>
      <i/>
      <sz val="11"/>
      <name val="Arial"/>
      <charset val="134"/>
    </font>
    <font>
      <i/>
      <sz val="11"/>
      <color rgb="FF000000"/>
      <name val="Arial"/>
      <charset val="134"/>
    </font>
    <font>
      <i/>
      <sz val="11"/>
      <name val="Arial"/>
      <charset val="134"/>
    </font>
    <font>
      <sz val="11"/>
      <color rgb="FF000000"/>
      <name val="Arial"/>
      <charset val="134"/>
    </font>
    <font>
      <sz val="11"/>
      <name val="Arial"/>
      <charset val="134"/>
    </font>
    <font>
      <b/>
      <i/>
      <sz val="11"/>
      <color theme="1"/>
      <name val="Arial"/>
      <charset val="134"/>
    </font>
    <font>
      <i/>
      <sz val="11"/>
      <color rgb="FF000000"/>
      <name val="Calibri"/>
      <charset val="134"/>
    </font>
    <font>
      <sz val="11"/>
      <color theme="1"/>
      <name val="Arial"/>
      <charset val="134"/>
    </font>
    <font>
      <b/>
      <sz val="11"/>
      <color theme="0"/>
      <name val="Arial"/>
      <charset val="134"/>
    </font>
    <font>
      <b/>
      <sz val="11"/>
      <name val="Arial"/>
      <charset val="134"/>
    </font>
    <font>
      <b/>
      <sz val="11"/>
      <color theme="1"/>
      <name val="Arial"/>
      <charset val="134"/>
    </font>
    <font>
      <sz val="11"/>
      <name val="Calibri"/>
      <charset val="134"/>
    </font>
    <font>
      <b/>
      <sz val="11"/>
      <name val="Calibri"/>
      <charset val="134"/>
      <scheme val="minor"/>
    </font>
    <font>
      <sz val="11"/>
      <name val="Calibri"/>
      <charset val="134"/>
      <scheme val="minor"/>
    </font>
    <font>
      <sz val="12"/>
      <name val="Calibri"/>
      <charset val="134"/>
      <scheme val="minor"/>
    </font>
    <font>
      <b/>
      <sz val="11"/>
      <color theme="0"/>
      <name val="Calibri"/>
      <charset val="134"/>
    </font>
    <font>
      <b/>
      <sz val="11"/>
      <name val="Calibri"/>
      <charset val="134"/>
    </font>
    <font>
      <b/>
      <sz val="11"/>
      <color rgb="FF000000"/>
      <name val="Calibri"/>
      <charset val="134"/>
    </font>
    <font>
      <i/>
      <sz val="11"/>
      <name val="Carlito"/>
      <charset val="134"/>
    </font>
    <font>
      <sz val="11"/>
      <color rgb="FFFF0000"/>
      <name val="Calibri"/>
      <charset val="134"/>
    </font>
    <font>
      <b/>
      <sz val="12"/>
      <name val="Calibri"/>
      <charset val="134"/>
      <scheme val="minor"/>
    </font>
    <font>
      <sz val="11"/>
      <color indexed="8"/>
      <name val="Calibri"/>
      <charset val="134"/>
    </font>
    <font>
      <b/>
      <sz val="12"/>
      <color theme="0"/>
      <name val="Calibri"/>
      <charset val="134"/>
    </font>
    <font>
      <sz val="12"/>
      <name val="Calibri"/>
      <charset val="134"/>
    </font>
    <font>
      <sz val="12"/>
      <color indexed="8"/>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sz val="9"/>
      <color rgb="FF000000"/>
      <name val="Calibri"/>
      <charset val="134"/>
    </font>
    <font>
      <sz val="11"/>
      <color theme="0"/>
      <name val="Calibri"/>
      <charset val="0"/>
      <scheme val="minor"/>
    </font>
    <font>
      <sz val="11"/>
      <color theme="1"/>
      <name val="Calibri"/>
      <charset val="0"/>
      <scheme val="minor"/>
    </font>
    <font>
      <b/>
      <sz val="11"/>
      <color theme="3"/>
      <name val="Calibri"/>
      <charset val="134"/>
      <scheme val="minor"/>
    </font>
    <font>
      <b/>
      <sz val="15"/>
      <color theme="3"/>
      <name val="Calibri"/>
      <charset val="134"/>
      <scheme val="minor"/>
    </font>
    <font>
      <sz val="10"/>
      <name val="Arial"/>
      <charset val="134"/>
    </font>
    <font>
      <b/>
      <sz val="11"/>
      <color rgb="FFFFFFFF"/>
      <name val="Calibri"/>
      <charset val="0"/>
      <scheme val="minor"/>
    </font>
    <font>
      <i/>
      <sz val="11"/>
      <color rgb="FF7F7F7F"/>
      <name val="Calibri"/>
      <charset val="0"/>
      <scheme val="minor"/>
    </font>
    <font>
      <sz val="11"/>
      <color rgb="FFFA7D00"/>
      <name val="Calibri"/>
      <charset val="0"/>
      <scheme val="minor"/>
    </font>
    <font>
      <b/>
      <sz val="11"/>
      <color rgb="FF3F3F3F"/>
      <name val="Calibri"/>
      <charset val="0"/>
      <scheme val="minor"/>
    </font>
    <font>
      <b/>
      <sz val="18"/>
      <color theme="3"/>
      <name val="Calibri"/>
      <charset val="134"/>
      <scheme val="minor"/>
    </font>
    <font>
      <u/>
      <sz val="11"/>
      <color rgb="FF0000FF"/>
      <name val="Calibri"/>
      <charset val="0"/>
      <scheme val="minor"/>
    </font>
    <font>
      <sz val="11"/>
      <color rgb="FF9C0006"/>
      <name val="Calibri"/>
      <charset val="0"/>
      <scheme val="minor"/>
    </font>
    <font>
      <b/>
      <sz val="11"/>
      <color rgb="FFFA7D00"/>
      <name val="Calibri"/>
      <charset val="0"/>
      <scheme val="minor"/>
    </font>
    <font>
      <sz val="11"/>
      <color rgb="FF3F3F76"/>
      <name val="Calibri"/>
      <charset val="0"/>
      <scheme val="minor"/>
    </font>
    <font>
      <sz val="11"/>
      <color rgb="FF9C6500"/>
      <name val="Calibri"/>
      <charset val="0"/>
      <scheme val="minor"/>
    </font>
    <font>
      <b/>
      <sz val="13"/>
      <color theme="3"/>
      <name val="Calibri"/>
      <charset val="134"/>
      <scheme val="minor"/>
    </font>
    <font>
      <sz val="10"/>
      <color theme="1"/>
      <name val="Calibri"/>
      <charset val="134"/>
      <scheme val="minor"/>
    </font>
    <font>
      <u/>
      <sz val="11"/>
      <color rgb="FF800080"/>
      <name val="Calibri"/>
      <charset val="0"/>
      <scheme val="minor"/>
    </font>
    <font>
      <sz val="11"/>
      <color rgb="FFFF0000"/>
      <name val="Calibri"/>
      <charset val="0"/>
      <scheme val="minor"/>
    </font>
    <font>
      <b/>
      <sz val="11"/>
      <color theme="1"/>
      <name val="Calibri"/>
      <charset val="0"/>
      <scheme val="minor"/>
    </font>
    <font>
      <sz val="11"/>
      <color rgb="FF006100"/>
      <name val="Calibri"/>
      <charset val="0"/>
      <scheme val="minor"/>
    </font>
    <font>
      <sz val="10"/>
      <name val="Calibri"/>
      <charset val="134"/>
    </font>
    <font>
      <sz val="10"/>
      <color rgb="FF000000"/>
      <name val="Calibri"/>
      <charset val="134"/>
    </font>
    <font>
      <u/>
      <sz val="11"/>
      <color rgb="FFF4B183"/>
      <name val="Calibri"/>
      <charset val="134"/>
    </font>
    <font>
      <sz val="9"/>
      <name val="Tahoma"/>
      <charset val="134"/>
    </font>
  </fonts>
  <fills count="55">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5" tint="0.399945066682943"/>
        <bgColor indexed="64"/>
      </patternFill>
    </fill>
    <fill>
      <patternFill patternType="solid">
        <fgColor theme="5" tint="0.399884029663991"/>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F2F2F2"/>
        <bgColor rgb="FFE2F0D9"/>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5"/>
        <bgColor indexed="64"/>
      </patternFill>
    </fill>
    <fill>
      <patternFill patternType="solid">
        <fgColor theme="4"/>
        <bgColor indexed="64"/>
      </patternFill>
    </fill>
    <fill>
      <patternFill patternType="solid">
        <fgColor theme="8"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s>
  <borders count="45">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right/>
      <top/>
      <bottom style="thin">
        <color auto="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178" fontId="47" fillId="0" borderId="0" applyBorder="0" applyAlignment="0" applyProtection="0"/>
    <xf numFmtId="179" fontId="47" fillId="0" borderId="0" applyBorder="0" applyAlignment="0" applyProtection="0"/>
    <xf numFmtId="0" fontId="44" fillId="37" borderId="0" applyNumberFormat="0" applyBorder="0" applyAlignment="0" applyProtection="0">
      <alignment vertical="center"/>
    </xf>
    <xf numFmtId="9" fontId="0" fillId="0" borderId="0" applyBorder="0" applyProtection="0"/>
    <xf numFmtId="0" fontId="50" fillId="0" borderId="40" applyNumberFormat="0" applyFill="0" applyAlignment="0" applyProtection="0">
      <alignment vertical="center"/>
    </xf>
    <xf numFmtId="0" fontId="48" fillId="29" borderId="39" applyNumberFormat="0" applyAlignment="0" applyProtection="0">
      <alignment vertical="center"/>
    </xf>
    <xf numFmtId="176" fontId="47" fillId="0" borderId="0" applyBorder="0" applyAlignment="0" applyProtection="0"/>
    <xf numFmtId="0" fontId="44" fillId="33" borderId="0" applyNumberFormat="0" applyBorder="0" applyAlignment="0" applyProtection="0">
      <alignment vertical="center"/>
    </xf>
    <xf numFmtId="177" fontId="0" fillId="0" borderId="0" applyBorder="0" applyProtection="0"/>
    <xf numFmtId="0" fontId="60"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4" fillId="50" borderId="0" applyNumberFormat="0" applyBorder="0" applyAlignment="0" applyProtection="0">
      <alignment vertical="center"/>
    </xf>
    <xf numFmtId="0" fontId="59" fillId="48" borderId="43" applyNumberFormat="0" applyFont="0" applyAlignment="0" applyProtection="0">
      <alignment vertical="center"/>
    </xf>
    <xf numFmtId="0" fontId="44" fillId="51" borderId="0" applyNumberFormat="0" applyBorder="0" applyAlignment="0" applyProtection="0">
      <alignment vertical="center"/>
    </xf>
    <xf numFmtId="0" fontId="61"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3" fillId="43" borderId="0" applyNumberFormat="0" applyBorder="0" applyAlignment="0" applyProtection="0">
      <alignment vertical="center"/>
    </xf>
    <xf numFmtId="0" fontId="46" fillId="0" borderId="38" applyNumberFormat="0" applyFill="0" applyAlignment="0" applyProtection="0">
      <alignment vertical="center"/>
    </xf>
    <xf numFmtId="0" fontId="43" fillId="32" borderId="0" applyNumberFormat="0" applyBorder="0" applyAlignment="0" applyProtection="0">
      <alignment vertical="center"/>
    </xf>
    <xf numFmtId="0" fontId="58" fillId="0" borderId="38" applyNumberFormat="0" applyFill="0" applyAlignment="0" applyProtection="0">
      <alignment vertical="center"/>
    </xf>
    <xf numFmtId="0" fontId="43" fillId="47" borderId="0" applyNumberFormat="0" applyBorder="0" applyAlignment="0" applyProtection="0">
      <alignment vertical="center"/>
    </xf>
    <xf numFmtId="0" fontId="45" fillId="0" borderId="37" applyNumberFormat="0" applyFill="0" applyAlignment="0" applyProtection="0">
      <alignment vertical="center"/>
    </xf>
    <xf numFmtId="0" fontId="43" fillId="8" borderId="0" applyNumberFormat="0" applyBorder="0" applyAlignment="0" applyProtection="0">
      <alignment vertical="center"/>
    </xf>
    <xf numFmtId="0" fontId="45" fillId="0" borderId="0" applyNumberFormat="0" applyFill="0" applyBorder="0" applyAlignment="0" applyProtection="0">
      <alignment vertical="center"/>
    </xf>
    <xf numFmtId="0" fontId="56" fillId="42" borderId="42" applyNumberFormat="0" applyAlignment="0" applyProtection="0">
      <alignment vertical="center"/>
    </xf>
    <xf numFmtId="0" fontId="51" fillId="36" borderId="41" applyNumberFormat="0" applyAlignment="0" applyProtection="0">
      <alignment vertical="center"/>
    </xf>
    <xf numFmtId="0" fontId="55" fillId="36" borderId="42" applyNumberFormat="0" applyAlignment="0" applyProtection="0">
      <alignment vertical="center"/>
    </xf>
    <xf numFmtId="0" fontId="62" fillId="0" borderId="44" applyNumberFormat="0" applyFill="0" applyAlignment="0" applyProtection="0">
      <alignment vertical="center"/>
    </xf>
    <xf numFmtId="0" fontId="44" fillId="35" borderId="0" applyNumberFormat="0" applyBorder="0" applyAlignment="0" applyProtection="0">
      <alignment vertical="center"/>
    </xf>
    <xf numFmtId="0" fontId="63" fillId="53" borderId="0" applyNumberFormat="0" applyBorder="0" applyAlignment="0" applyProtection="0">
      <alignment vertical="center"/>
    </xf>
    <xf numFmtId="0" fontId="54" fillId="41" borderId="0" applyNumberFormat="0" applyBorder="0" applyAlignment="0" applyProtection="0">
      <alignment vertical="center"/>
    </xf>
    <xf numFmtId="0" fontId="57" fillId="46" borderId="0" applyNumberFormat="0" applyBorder="0" applyAlignment="0" applyProtection="0">
      <alignment vertical="center"/>
    </xf>
    <xf numFmtId="0" fontId="44" fillId="40" borderId="0" applyNumberFormat="0" applyBorder="0" applyAlignment="0" applyProtection="0">
      <alignment vertical="center"/>
    </xf>
    <xf numFmtId="0" fontId="43" fillId="39" borderId="0" applyNumberFormat="0" applyBorder="0" applyAlignment="0" applyProtection="0">
      <alignment vertical="center"/>
    </xf>
    <xf numFmtId="0" fontId="44" fillId="52" borderId="0" applyNumberFormat="0" applyBorder="0" applyAlignment="0" applyProtection="0">
      <alignment vertical="center"/>
    </xf>
    <xf numFmtId="0" fontId="43" fillId="31" borderId="0" applyNumberFormat="0" applyBorder="0" applyAlignment="0" applyProtection="0">
      <alignment vertical="center"/>
    </xf>
    <xf numFmtId="0" fontId="44" fillId="54" borderId="0" applyNumberFormat="0" applyBorder="0" applyAlignment="0" applyProtection="0">
      <alignment vertical="center"/>
    </xf>
    <xf numFmtId="0" fontId="43" fillId="38" borderId="0" applyNumberFormat="0" applyBorder="0" applyAlignment="0" applyProtection="0">
      <alignment vertical="center"/>
    </xf>
    <xf numFmtId="0" fontId="44" fillId="45" borderId="0" applyNumberFormat="0" applyBorder="0" applyAlignment="0" applyProtection="0">
      <alignment vertical="center"/>
    </xf>
    <xf numFmtId="0" fontId="43" fillId="44" borderId="0" applyNumberFormat="0" applyBorder="0" applyAlignment="0" applyProtection="0">
      <alignment vertical="center"/>
    </xf>
    <xf numFmtId="0" fontId="44" fillId="28" borderId="0" applyNumberFormat="0" applyBorder="0" applyAlignment="0" applyProtection="0">
      <alignment vertical="center"/>
    </xf>
    <xf numFmtId="0" fontId="43" fillId="27" borderId="0" applyNumberFormat="0" applyBorder="0" applyAlignment="0" applyProtection="0">
      <alignment vertical="center"/>
    </xf>
    <xf numFmtId="0" fontId="44" fillId="26" borderId="0" applyNumberFormat="0" applyBorder="0" applyAlignment="0" applyProtection="0">
      <alignment vertical="center"/>
    </xf>
    <xf numFmtId="0" fontId="43" fillId="30" borderId="0" applyNumberFormat="0" applyBorder="0" applyAlignment="0" applyProtection="0">
      <alignment vertical="center"/>
    </xf>
    <xf numFmtId="0" fontId="44" fillId="34" borderId="0" applyNumberFormat="0" applyBorder="0" applyAlignment="0" applyProtection="0">
      <alignment vertical="center"/>
    </xf>
    <xf numFmtId="0" fontId="43" fillId="49" borderId="0" applyNumberFormat="0" applyBorder="0" applyAlignment="0" applyProtection="0">
      <alignment vertical="center"/>
    </xf>
    <xf numFmtId="0" fontId="43" fillId="25" borderId="0" applyNumberFormat="0" applyBorder="0" applyAlignment="0" applyProtection="0">
      <alignment vertical="center"/>
    </xf>
  </cellStyleXfs>
  <cellXfs count="311">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80" fontId="2" fillId="0" borderId="0" xfId="0" applyNumberFormat="1" applyFont="1" applyFill="1" applyAlignment="1">
      <alignment horizontal="center" vertical="center"/>
    </xf>
    <xf numFmtId="0" fontId="2" fillId="0" borderId="0" xfId="0" applyFont="1" applyFill="1" applyAlignment="1"/>
    <xf numFmtId="180"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81" fontId="0" fillId="0" borderId="0" xfId="0" applyNumberFormat="1" applyAlignment="1">
      <alignment horizontal="center" vertical="center"/>
    </xf>
    <xf numFmtId="0" fontId="7" fillId="3" borderId="0" xfId="0" applyFont="1" applyFill="1" applyAlignment="1">
      <alignment horizontal="center"/>
    </xf>
    <xf numFmtId="181" fontId="7" fillId="3" borderId="0" xfId="0" applyNumberFormat="1" applyFont="1" applyFill="1" applyAlignment="1">
      <alignment horizontal="center"/>
    </xf>
    <xf numFmtId="0" fontId="7" fillId="3" borderId="0" xfId="0" applyFont="1" applyFill="1" applyAlignment="1">
      <alignment horizontal="center" vertical="center"/>
    </xf>
    <xf numFmtId="181" fontId="7" fillId="3" borderId="0" xfId="0" applyNumberFormat="1" applyFont="1" applyFill="1" applyAlignment="1">
      <alignment horizontal="center" vertical="center"/>
    </xf>
    <xf numFmtId="0" fontId="8" fillId="5" borderId="0" xfId="0" applyFont="1" applyFill="1" applyAlignment="1">
      <alignment horizontal="center" vertical="center"/>
    </xf>
    <xf numFmtId="0" fontId="9" fillId="4" borderId="0" xfId="0" applyFont="1" applyFill="1" applyAlignment="1">
      <alignment horizontal="center" vertical="center" wrapText="1"/>
    </xf>
    <xf numFmtId="0" fontId="10" fillId="4" borderId="0" xfId="0" applyFont="1" applyFill="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justify" vertical="center" wrapText="1"/>
    </xf>
    <xf numFmtId="0" fontId="12" fillId="0" borderId="0" xfId="0" applyFont="1" applyAlignment="1">
      <alignment horizontal="center" vertical="center" wrapText="1"/>
    </xf>
    <xf numFmtId="181" fontId="13" fillId="6" borderId="0" xfId="0" applyNumberFormat="1" applyFont="1" applyFill="1" applyAlignment="1">
      <alignment horizontal="center" vertical="center"/>
    </xf>
    <xf numFmtId="181" fontId="13" fillId="0" borderId="0" xfId="0" applyNumberFormat="1" applyFont="1" applyAlignment="1">
      <alignment horizontal="center" vertical="center"/>
    </xf>
    <xf numFmtId="0" fontId="11" fillId="0" borderId="0" xfId="0" applyFont="1" applyAlignment="1">
      <alignment horizontal="justify" vertical="center"/>
    </xf>
    <xf numFmtId="0" fontId="8" fillId="5" borderId="0" xfId="0" applyFont="1" applyFill="1" applyAlignment="1">
      <alignment horizontal="center"/>
    </xf>
    <xf numFmtId="181" fontId="8" fillId="5" borderId="0" xfId="0" applyNumberFormat="1" applyFont="1" applyFill="1" applyAlignment="1">
      <alignment horizontal="center"/>
    </xf>
    <xf numFmtId="0" fontId="13" fillId="0" borderId="0" xfId="0" applyFont="1"/>
    <xf numFmtId="0" fontId="14" fillId="0" borderId="0" xfId="0" applyFont="1"/>
    <xf numFmtId="0" fontId="15" fillId="5" borderId="0" xfId="0" applyFont="1" applyFill="1" applyAlignment="1">
      <alignment horizontal="center"/>
    </xf>
    <xf numFmtId="0" fontId="10" fillId="5" borderId="0" xfId="0" applyFont="1" applyFill="1" applyAlignment="1">
      <alignment horizontal="center"/>
    </xf>
    <xf numFmtId="0" fontId="12" fillId="7" borderId="0" xfId="0" applyFont="1" applyFill="1" applyAlignment="1">
      <alignment horizontal="center" vertical="center"/>
    </xf>
    <xf numFmtId="0" fontId="12" fillId="7" borderId="0" xfId="0" applyFont="1" applyFill="1" applyAlignment="1">
      <alignment horizontal="center" vertical="center" wrapText="1"/>
    </xf>
    <xf numFmtId="0" fontId="13" fillId="0" borderId="0" xfId="0" applyFont="1" applyAlignment="1">
      <alignment horizontal="justify" vertical="center"/>
    </xf>
    <xf numFmtId="0" fontId="16" fillId="0" borderId="0" xfId="0" applyFont="1" applyAlignment="1">
      <alignment horizontal="center" vertical="center" wrapText="1"/>
    </xf>
    <xf numFmtId="0" fontId="17" fillId="0" borderId="0" xfId="0" applyFont="1" applyFill="1" applyAlignment="1">
      <alignment horizontal="center"/>
    </xf>
    <xf numFmtId="0" fontId="17" fillId="0" borderId="0" xfId="0" applyFont="1" applyFill="1" applyAlignment="1">
      <alignment wrapText="1"/>
    </xf>
    <xf numFmtId="0" fontId="17" fillId="0" borderId="0" xfId="0" applyFont="1" applyFill="1" applyAlignment="1">
      <alignment horizontal="center" vertical="center"/>
    </xf>
    <xf numFmtId="182" fontId="17" fillId="0" borderId="0" xfId="0" applyNumberFormat="1" applyFont="1" applyFill="1" applyAlignment="1">
      <alignment horizontal="center" vertical="center"/>
    </xf>
    <xf numFmtId="0" fontId="18" fillId="8" borderId="4" xfId="0" applyFont="1" applyFill="1" applyBorder="1" applyAlignment="1">
      <alignment horizontal="center"/>
    </xf>
    <xf numFmtId="0" fontId="18" fillId="8" borderId="5" xfId="0" applyFont="1" applyFill="1" applyBorder="1" applyAlignment="1">
      <alignment horizontal="center"/>
    </xf>
    <xf numFmtId="0" fontId="19" fillId="8" borderId="5" xfId="0" applyFont="1" applyFill="1" applyBorder="1" applyAlignment="1">
      <alignment horizontal="center"/>
    </xf>
    <xf numFmtId="0" fontId="18" fillId="8" borderId="6" xfId="0" applyFont="1" applyFill="1" applyBorder="1" applyAlignment="1">
      <alignment horizontal="center"/>
    </xf>
    <xf numFmtId="182" fontId="18" fillId="8" borderId="7" xfId="0" applyNumberFormat="1" applyFont="1" applyFill="1" applyBorder="1" applyAlignment="1">
      <alignment horizontal="center"/>
    </xf>
    <xf numFmtId="0" fontId="18" fillId="8" borderId="8" xfId="0" applyFont="1" applyFill="1" applyBorder="1" applyAlignment="1">
      <alignment horizontal="center"/>
    </xf>
    <xf numFmtId="0" fontId="19" fillId="8" borderId="8" xfId="0" applyFont="1" applyFill="1" applyBorder="1" applyAlignment="1">
      <alignment horizontal="center"/>
    </xf>
    <xf numFmtId="182" fontId="18" fillId="8" borderId="8" xfId="0" applyNumberFormat="1" applyFont="1" applyFill="1" applyBorder="1" applyAlignment="1">
      <alignment horizontal="center"/>
    </xf>
    <xf numFmtId="0" fontId="18" fillId="8" borderId="8" xfId="0" applyNumberFormat="1" applyFont="1" applyFill="1" applyBorder="1" applyAlignment="1">
      <alignment horizontal="center"/>
    </xf>
    <xf numFmtId="0" fontId="17" fillId="0" borderId="0" xfId="0" applyFont="1" applyFill="1" applyAlignment="1"/>
    <xf numFmtId="0" fontId="14" fillId="0" borderId="0" xfId="0" applyFont="1" applyFill="1" applyAlignment="1"/>
    <xf numFmtId="0" fontId="20" fillId="0" borderId="0" xfId="0" applyFont="1" applyFill="1" applyAlignment="1">
      <alignment horizontal="justify" wrapText="1"/>
    </xf>
    <xf numFmtId="0" fontId="17" fillId="0" borderId="0" xfId="0" applyFont="1" applyFill="1" applyAlignment="1">
      <alignment horizontal="justify" wrapText="1"/>
    </xf>
    <xf numFmtId="0" fontId="14" fillId="0" borderId="0" xfId="0" applyFont="1" applyFill="1" applyAlignment="1">
      <alignment horizontal="justify" wrapText="1"/>
    </xf>
    <xf numFmtId="0" fontId="21" fillId="0" borderId="0" xfId="0" applyFont="1"/>
    <xf numFmtId="0" fontId="1" fillId="0" borderId="0" xfId="0" applyFont="1" applyFill="1" applyAlignment="1">
      <alignment horizontal="center"/>
    </xf>
    <xf numFmtId="0" fontId="22" fillId="0" borderId="0" xfId="0" applyFont="1" applyFill="1" applyAlignment="1">
      <alignment horizontal="center"/>
    </xf>
    <xf numFmtId="0" fontId="23" fillId="0" borderId="0" xfId="0" applyFont="1" applyFill="1" applyAlignment="1">
      <alignment horizontal="center" vertical="center" wrapText="1"/>
    </xf>
    <xf numFmtId="0" fontId="23" fillId="0" borderId="0" xfId="0" applyFont="1" applyFill="1" applyAlignment="1">
      <alignment horizontal="justify" vertical="center" wrapText="1"/>
    </xf>
    <xf numFmtId="182" fontId="23" fillId="9" borderId="0" xfId="0" applyNumberFormat="1" applyFont="1" applyFill="1" applyAlignment="1">
      <alignment horizontal="center" vertical="center" wrapText="1"/>
    </xf>
    <xf numFmtId="0" fontId="23" fillId="10" borderId="0" xfId="0" applyFont="1" applyFill="1" applyAlignment="1">
      <alignment horizontal="center" vertical="center" wrapText="1"/>
    </xf>
    <xf numFmtId="182" fontId="23" fillId="0" borderId="0" xfId="0" applyNumberFormat="1" applyFont="1" applyFill="1" applyAlignment="1">
      <alignment horizontal="center" vertical="center" wrapText="1"/>
    </xf>
    <xf numFmtId="182" fontId="23" fillId="10" borderId="0" xfId="0" applyNumberFormat="1" applyFont="1" applyFill="1" applyAlignment="1">
      <alignment horizontal="center" vertical="center" wrapText="1"/>
    </xf>
    <xf numFmtId="0" fontId="24" fillId="0" borderId="0" xfId="0" applyFont="1" applyFill="1" applyAlignment="1">
      <alignment horizontal="center" vertical="center"/>
    </xf>
    <xf numFmtId="0" fontId="23" fillId="0" borderId="0" xfId="0" applyFont="1" applyFill="1" applyAlignment="1">
      <alignment horizontal="center" vertical="center"/>
    </xf>
    <xf numFmtId="182" fontId="2" fillId="0"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25" fillId="8" borderId="0" xfId="0" applyFont="1" applyFill="1" applyBorder="1" applyAlignment="1">
      <alignment horizontal="center"/>
    </xf>
    <xf numFmtId="0" fontId="25" fillId="8" borderId="0" xfId="0" applyFont="1" applyFill="1" applyBorder="1" applyAlignment="1">
      <alignment horizontal="center" vertical="center" wrapText="1"/>
    </xf>
    <xf numFmtId="0" fontId="25" fillId="8" borderId="0" xfId="0" applyFont="1" applyFill="1" applyBorder="1" applyAlignment="1">
      <alignment horizontal="center" vertical="center"/>
    </xf>
    <xf numFmtId="0" fontId="26" fillId="11" borderId="0" xfId="0" applyFont="1" applyFill="1" applyAlignment="1">
      <alignment horizontal="center"/>
    </xf>
    <xf numFmtId="0" fontId="26" fillId="11" borderId="0" xfId="0" applyFont="1" applyFill="1" applyAlignment="1">
      <alignment horizontal="center" vertical="center" wrapText="1"/>
    </xf>
    <xf numFmtId="0" fontId="26" fillId="11" borderId="0" xfId="0" applyFont="1" applyFill="1" applyAlignment="1">
      <alignment horizontal="center" vertical="center"/>
    </xf>
    <xf numFmtId="0" fontId="27" fillId="12" borderId="0" xfId="0" applyFont="1" applyFill="1" applyAlignment="1">
      <alignment horizontal="center" vertical="center" wrapText="1"/>
    </xf>
    <xf numFmtId="0" fontId="21" fillId="0" borderId="0" xfId="0" applyFont="1" applyAlignment="1">
      <alignment horizontal="center" vertical="center" wrapText="1"/>
    </xf>
    <xf numFmtId="0" fontId="28" fillId="0" borderId="0" xfId="0" applyFont="1" applyAlignment="1">
      <alignment horizontal="justify" wrapText="1"/>
    </xf>
    <xf numFmtId="181" fontId="21" fillId="13" borderId="0" xfId="0" applyNumberFormat="1" applyFont="1" applyFill="1" applyAlignment="1">
      <alignment horizontal="center" vertical="center" wrapText="1"/>
    </xf>
    <xf numFmtId="181" fontId="21" fillId="0" borderId="0" xfId="0" applyNumberFormat="1" applyFont="1" applyAlignment="1">
      <alignment horizontal="center" vertical="center" wrapText="1"/>
    </xf>
    <xf numFmtId="0" fontId="28" fillId="0" borderId="0" xfId="0" applyFont="1" applyAlignment="1">
      <alignment horizontal="justify" vertical="center" wrapText="1"/>
    </xf>
    <xf numFmtId="0" fontId="28" fillId="0" borderId="0" xfId="0" applyFont="1" applyAlignment="1">
      <alignment horizontal="center" vertical="center" wrapText="1"/>
    </xf>
    <xf numFmtId="0" fontId="6" fillId="0" borderId="0" xfId="0" applyFont="1" applyAlignment="1">
      <alignment horizontal="justify" vertical="center" wrapText="1"/>
    </xf>
    <xf numFmtId="0" fontId="29" fillId="0" borderId="0" xfId="0" applyFont="1"/>
    <xf numFmtId="0" fontId="29" fillId="0" borderId="0" xfId="0" applyFont="1" applyAlignment="1">
      <alignment horizontal="center" vertical="center" wrapText="1"/>
    </xf>
    <xf numFmtId="0" fontId="29" fillId="0" borderId="0" xfId="0" applyFont="1" applyAlignment="1">
      <alignment horizontal="center" vertical="center"/>
    </xf>
    <xf numFmtId="0" fontId="30" fillId="8" borderId="9" xfId="19" applyFont="1" applyFill="1" applyBorder="1" applyAlignment="1">
      <alignment horizontal="center"/>
    </xf>
    <xf numFmtId="0" fontId="30" fillId="8" borderId="10" xfId="19" applyFont="1" applyFill="1" applyBorder="1" applyAlignment="1">
      <alignment horizontal="center"/>
    </xf>
    <xf numFmtId="0" fontId="30" fillId="8" borderId="11" xfId="19" applyFont="1" applyFill="1" applyBorder="1" applyAlignment="1">
      <alignment horizontal="center"/>
    </xf>
    <xf numFmtId="0" fontId="30" fillId="12" borderId="12" xfId="19" applyFont="1" applyFill="1" applyBorder="1" applyAlignment="1">
      <alignment horizontal="center" vertical="center" wrapText="1"/>
    </xf>
    <xf numFmtId="0" fontId="30" fillId="12" borderId="13" xfId="19" applyFont="1" applyFill="1" applyBorder="1" applyAlignment="1">
      <alignment horizontal="center" vertical="center" wrapText="1"/>
    </xf>
    <xf numFmtId="0" fontId="30" fillId="12" borderId="14" xfId="19" applyFont="1" applyFill="1" applyBorder="1" applyAlignment="1">
      <alignment horizontal="center" vertical="center" wrapText="1"/>
    </xf>
    <xf numFmtId="0" fontId="30" fillId="12" borderId="15" xfId="19" applyFont="1" applyFill="1" applyBorder="1" applyAlignment="1">
      <alignment horizontal="center" vertical="center" wrapText="1"/>
    </xf>
    <xf numFmtId="0" fontId="30" fillId="11" borderId="12" xfId="19" applyFont="1" applyFill="1" applyBorder="1" applyAlignment="1">
      <alignment horizontal="center" vertical="center" wrapText="1"/>
    </xf>
    <xf numFmtId="0" fontId="30" fillId="11" borderId="13" xfId="19" applyFont="1" applyFill="1" applyBorder="1" applyAlignment="1">
      <alignment horizontal="center" vertical="center" wrapText="1"/>
    </xf>
    <xf numFmtId="0" fontId="30" fillId="11" borderId="14" xfId="19" applyFont="1" applyFill="1" applyBorder="1" applyAlignment="1">
      <alignment horizontal="center" vertical="center"/>
    </xf>
    <xf numFmtId="0" fontId="30" fillId="11" borderId="15" xfId="19" applyFont="1" applyFill="1" applyBorder="1" applyAlignment="1">
      <alignment horizontal="center" vertical="center"/>
    </xf>
    <xf numFmtId="0" fontId="30" fillId="13" borderId="12" xfId="19" applyFont="1" applyFill="1" applyBorder="1" applyAlignment="1">
      <alignment horizontal="center" vertical="center"/>
    </xf>
    <xf numFmtId="183" fontId="30" fillId="13" borderId="13" xfId="9" applyNumberFormat="1" applyFont="1" applyFill="1" applyBorder="1" applyAlignment="1">
      <alignment horizontal="center" vertical="center"/>
    </xf>
    <xf numFmtId="183" fontId="30" fillId="13" borderId="14" xfId="9" applyNumberFormat="1" applyFont="1" applyFill="1" applyBorder="1" applyAlignment="1">
      <alignment horizontal="center" vertical="center"/>
    </xf>
    <xf numFmtId="183" fontId="30" fillId="13" borderId="15" xfId="9" applyNumberFormat="1" applyFont="1" applyFill="1" applyBorder="1" applyAlignment="1">
      <alignment horizontal="center" vertical="center"/>
    </xf>
    <xf numFmtId="0" fontId="31" fillId="0" borderId="0" xfId="0" applyNumberFormat="1" applyFont="1" applyFill="1" applyBorder="1" applyAlignment="1" applyProtection="1"/>
    <xf numFmtId="0" fontId="24" fillId="0" borderId="16" xfId="0" applyFont="1" applyFill="1" applyBorder="1" applyAlignment="1"/>
    <xf numFmtId="0" fontId="24" fillId="0" borderId="0" xfId="0" applyFont="1" applyFill="1" applyBorder="1" applyAlignment="1"/>
    <xf numFmtId="0" fontId="24" fillId="0" borderId="17" xfId="0" applyFont="1" applyFill="1" applyBorder="1" applyAlignment="1"/>
    <xf numFmtId="183" fontId="30" fillId="0" borderId="18" xfId="19" applyNumberFormat="1" applyFont="1" applyBorder="1" applyAlignment="1">
      <alignment horizontal="center" vertical="center" wrapText="1"/>
    </xf>
    <xf numFmtId="0" fontId="30" fillId="11" borderId="19" xfId="0" applyFont="1" applyFill="1" applyBorder="1" applyAlignment="1">
      <alignment horizontal="center" vertical="center"/>
    </xf>
    <xf numFmtId="0" fontId="30" fillId="11" borderId="20" xfId="0" applyFont="1" applyFill="1" applyBorder="1" applyAlignment="1">
      <alignment horizontal="center" vertical="center"/>
    </xf>
    <xf numFmtId="0" fontId="30" fillId="11" borderId="0" xfId="0" applyFont="1" applyFill="1" applyBorder="1" applyAlignment="1">
      <alignment horizontal="center" vertical="center"/>
    </xf>
    <xf numFmtId="0" fontId="30" fillId="11" borderId="17" xfId="0" applyFont="1" applyFill="1" applyBorder="1" applyAlignment="1">
      <alignment horizontal="center" vertical="center"/>
    </xf>
    <xf numFmtId="0" fontId="24" fillId="11" borderId="16" xfId="0" applyFont="1" applyFill="1" applyBorder="1" applyAlignment="1">
      <alignment horizontal="left" vertical="top"/>
    </xf>
    <xf numFmtId="0" fontId="24" fillId="11" borderId="0" xfId="0" applyFont="1" applyFill="1" applyBorder="1" applyAlignment="1">
      <alignment horizontal="left" vertical="top"/>
    </xf>
    <xf numFmtId="10" fontId="24" fillId="13" borderId="0" xfId="4" applyNumberFormat="1" applyFont="1" applyFill="1" applyBorder="1" applyAlignment="1">
      <alignment horizontal="center" vertical="center"/>
    </xf>
    <xf numFmtId="183" fontId="24" fillId="13" borderId="17" xfId="9" applyNumberFormat="1" applyFont="1" applyFill="1" applyBorder="1" applyAlignment="1">
      <alignment horizontal="center" vertical="center"/>
    </xf>
    <xf numFmtId="0" fontId="24" fillId="14" borderId="16" xfId="0" applyFont="1" applyFill="1" applyBorder="1" applyAlignment="1">
      <alignment horizontal="left" vertical="top"/>
    </xf>
    <xf numFmtId="0" fontId="24" fillId="14" borderId="0" xfId="0" applyFont="1" applyFill="1" applyBorder="1" applyAlignment="1">
      <alignment horizontal="left" vertical="top"/>
    </xf>
    <xf numFmtId="0" fontId="30" fillId="12" borderId="21" xfId="19" applyFont="1" applyFill="1" applyBorder="1" applyAlignment="1">
      <alignment horizontal="center" vertical="center" wrapText="1"/>
    </xf>
    <xf numFmtId="183" fontId="30" fillId="13" borderId="22" xfId="19" applyNumberFormat="1" applyFont="1" applyFill="1" applyBorder="1" applyAlignment="1">
      <alignment horizontal="center" vertical="center" wrapText="1"/>
    </xf>
    <xf numFmtId="0" fontId="30" fillId="11" borderId="21" xfId="19" applyFont="1" applyFill="1" applyBorder="1" applyAlignment="1">
      <alignment horizontal="center" vertical="center" wrapText="1"/>
    </xf>
    <xf numFmtId="0" fontId="30" fillId="11" borderId="14" xfId="19" applyFont="1" applyFill="1" applyBorder="1" applyAlignment="1">
      <alignment horizontal="center" vertical="center" wrapText="1"/>
    </xf>
    <xf numFmtId="0" fontId="30" fillId="11" borderId="15" xfId="19" applyFont="1" applyFill="1" applyBorder="1" applyAlignment="1">
      <alignment horizontal="center" vertical="center" wrapText="1"/>
    </xf>
    <xf numFmtId="0" fontId="30" fillId="14" borderId="19" xfId="0" applyFont="1" applyFill="1" applyBorder="1" applyAlignment="1">
      <alignment horizontal="center" vertical="center"/>
    </xf>
    <xf numFmtId="0" fontId="30" fillId="14" borderId="20" xfId="0" applyFont="1" applyFill="1" applyBorder="1" applyAlignment="1">
      <alignment horizontal="center" vertical="center"/>
    </xf>
    <xf numFmtId="0" fontId="30" fillId="14" borderId="0" xfId="0" applyFont="1" applyFill="1" applyBorder="1" applyAlignment="1">
      <alignment horizontal="center" vertical="center"/>
    </xf>
    <xf numFmtId="0" fontId="30" fillId="14" borderId="17" xfId="0" applyFont="1" applyFill="1" applyBorder="1" applyAlignment="1">
      <alignment horizontal="center" vertical="center"/>
    </xf>
    <xf numFmtId="183" fontId="24" fillId="13" borderId="17" xfId="9" applyNumberFormat="1" applyFont="1" applyFill="1" applyBorder="1"/>
    <xf numFmtId="0" fontId="30" fillId="14" borderId="16" xfId="0" applyFont="1" applyFill="1" applyBorder="1" applyAlignment="1">
      <alignment horizontal="center"/>
    </xf>
    <xf numFmtId="0" fontId="30" fillId="14" borderId="0" xfId="0" applyFont="1" applyFill="1" applyBorder="1" applyAlignment="1">
      <alignment horizontal="center"/>
    </xf>
    <xf numFmtId="10" fontId="30" fillId="13" borderId="0" xfId="0" applyNumberFormat="1" applyFont="1" applyFill="1" applyBorder="1" applyAlignment="1">
      <alignment horizontal="center" vertical="center"/>
    </xf>
    <xf numFmtId="183" fontId="30" fillId="13" borderId="17" xfId="0" applyNumberFormat="1" applyFont="1" applyFill="1" applyBorder="1" applyAlignment="1">
      <alignment horizontal="center" vertical="center"/>
    </xf>
    <xf numFmtId="0" fontId="30" fillId="8" borderId="21" xfId="19" applyFont="1" applyFill="1" applyBorder="1" applyAlignment="1">
      <alignment horizontal="center" vertical="center" wrapText="1"/>
    </xf>
    <xf numFmtId="0" fontId="30" fillId="8" borderId="14" xfId="19" applyFont="1" applyFill="1" applyBorder="1" applyAlignment="1">
      <alignment horizontal="center" vertical="center" wrapText="1"/>
    </xf>
    <xf numFmtId="0" fontId="30" fillId="8" borderId="15" xfId="19" applyFont="1" applyFill="1" applyBorder="1" applyAlignment="1">
      <alignment horizontal="center" vertical="center" wrapText="1"/>
    </xf>
    <xf numFmtId="183" fontId="30" fillId="8" borderId="22" xfId="19" applyNumberFormat="1" applyFont="1" applyFill="1" applyBorder="1" applyAlignment="1">
      <alignment horizontal="center" vertical="center" wrapText="1"/>
    </xf>
    <xf numFmtId="0" fontId="23" fillId="0" borderId="0" xfId="0" applyFont="1" applyFill="1" applyAlignment="1"/>
    <xf numFmtId="0" fontId="2" fillId="0" borderId="0" xfId="0" applyFont="1" applyFill="1" applyAlignment="1">
      <alignment vertical="center" wrapText="1"/>
    </xf>
    <xf numFmtId="0" fontId="32" fillId="15" borderId="23" xfId="0" applyNumberFormat="1" applyFont="1" applyFill="1" applyBorder="1" applyAlignment="1" applyProtection="1">
      <alignment horizontal="center" vertical="center"/>
    </xf>
    <xf numFmtId="0" fontId="32" fillId="15" borderId="24" xfId="0" applyNumberFormat="1" applyFont="1" applyFill="1" applyBorder="1" applyAlignment="1" applyProtection="1">
      <alignment horizontal="center" vertical="center"/>
    </xf>
    <xf numFmtId="0" fontId="33" fillId="16" borderId="25" xfId="0" applyNumberFormat="1" applyFont="1" applyFill="1" applyBorder="1" applyAlignment="1" applyProtection="1">
      <alignment horizontal="left" vertical="center"/>
    </xf>
    <xf numFmtId="10" fontId="33" fillId="17" borderId="0" xfId="0" applyNumberFormat="1" applyFont="1" applyFill="1" applyBorder="1" applyAlignment="1" applyProtection="1">
      <alignment horizontal="center" vertical="center"/>
    </xf>
    <xf numFmtId="0" fontId="33" fillId="18" borderId="26" xfId="0" applyNumberFormat="1" applyFont="1" applyFill="1" applyBorder="1" applyAlignment="1" applyProtection="1">
      <alignment horizontal="left" vertical="center"/>
    </xf>
    <xf numFmtId="184" fontId="33" fillId="17" borderId="0" xfId="0" applyNumberFormat="1" applyFont="1" applyFill="1" applyBorder="1" applyAlignment="1" applyProtection="1">
      <alignment horizontal="center"/>
    </xf>
    <xf numFmtId="185" fontId="33" fillId="17" borderId="0" xfId="0" applyNumberFormat="1" applyFont="1" applyFill="1" applyBorder="1" applyAlignment="1" applyProtection="1">
      <alignment horizontal="center" vertical="center"/>
    </xf>
    <xf numFmtId="0" fontId="34" fillId="0" borderId="0" xfId="0" applyNumberFormat="1" applyFont="1" applyFill="1" applyBorder="1" applyAlignment="1" applyProtection="1"/>
    <xf numFmtId="0" fontId="21" fillId="0" borderId="0" xfId="0" applyFont="1"/>
    <xf numFmtId="0" fontId="35" fillId="19" borderId="27" xfId="0" applyFont="1" applyFill="1" applyBorder="1" applyAlignment="1">
      <alignment horizontal="center"/>
    </xf>
    <xf numFmtId="0" fontId="26" fillId="20" borderId="28" xfId="0" applyFont="1" applyFill="1" applyBorder="1" applyAlignment="1">
      <alignment horizontal="left" wrapText="1"/>
    </xf>
    <xf numFmtId="0" fontId="26" fillId="21" borderId="0" xfId="0" applyFont="1" applyFill="1" applyBorder="1" applyAlignment="1">
      <alignment horizontal="left" wrapText="1"/>
    </xf>
    <xf numFmtId="49" fontId="21" fillId="21" borderId="0" xfId="0" applyNumberFormat="1" applyFont="1" applyFill="1" applyBorder="1" applyAlignment="1">
      <alignment horizontal="left"/>
    </xf>
    <xf numFmtId="0" fontId="21" fillId="21" borderId="0" xfId="0" applyFont="1" applyFill="1" applyBorder="1" applyAlignment="1">
      <alignment horizontal="left"/>
    </xf>
    <xf numFmtId="0" fontId="26" fillId="0" borderId="0" xfId="0" applyFont="1" applyBorder="1" applyAlignment="1">
      <alignment horizontal="left" wrapText="1"/>
    </xf>
    <xf numFmtId="0" fontId="21" fillId="0" borderId="0" xfId="0" applyFont="1" applyBorder="1" applyAlignment="1">
      <alignment horizontal="left"/>
    </xf>
    <xf numFmtId="0" fontId="26" fillId="19" borderId="29" xfId="0" applyFont="1" applyFill="1" applyBorder="1" applyAlignment="1">
      <alignment horizontal="center"/>
    </xf>
    <xf numFmtId="0" fontId="21" fillId="20" borderId="30" xfId="0" applyFont="1" applyFill="1" applyBorder="1" applyAlignment="1">
      <alignment horizontal="center"/>
    </xf>
    <xf numFmtId="0" fontId="21" fillId="20" borderId="25" xfId="0" applyFont="1" applyFill="1" applyBorder="1"/>
    <xf numFmtId="0" fontId="21" fillId="22" borderId="25" xfId="0" applyFont="1" applyFill="1" applyBorder="1" applyAlignment="1">
      <alignment horizontal="center"/>
    </xf>
    <xf numFmtId="0" fontId="21" fillId="23" borderId="31" xfId="0" applyFont="1" applyFill="1" applyBorder="1" applyAlignment="1">
      <alignment horizontal="center"/>
    </xf>
    <xf numFmtId="0" fontId="21" fillId="23" borderId="32" xfId="0" applyFont="1" applyFill="1" applyBorder="1"/>
    <xf numFmtId="0" fontId="21" fillId="22" borderId="32" xfId="0" applyFont="1" applyFill="1" applyBorder="1" applyAlignment="1">
      <alignment horizontal="center"/>
    </xf>
    <xf numFmtId="0" fontId="21" fillId="20" borderId="31" xfId="0" applyFont="1" applyFill="1" applyBorder="1" applyAlignment="1">
      <alignment horizontal="center"/>
    </xf>
    <xf numFmtId="0" fontId="21" fillId="20" borderId="32" xfId="0" applyFont="1" applyFill="1" applyBorder="1"/>
    <xf numFmtId="0" fontId="26" fillId="19" borderId="27" xfId="0" applyFont="1" applyFill="1" applyBorder="1" applyAlignment="1">
      <alignment horizontal="center"/>
    </xf>
    <xf numFmtId="0" fontId="26" fillId="19" borderId="33" xfId="0" applyFont="1" applyFill="1" applyBorder="1" applyAlignment="1">
      <alignment horizontal="center" wrapText="1"/>
    </xf>
    <xf numFmtId="0" fontId="26" fillId="19" borderId="23" xfId="0" applyFont="1" applyFill="1" applyBorder="1" applyAlignment="1">
      <alignment horizontal="center"/>
    </xf>
    <xf numFmtId="0" fontId="21" fillId="20" borderId="32" xfId="0" applyFont="1" applyFill="1" applyBorder="1" applyAlignment="1">
      <alignment horizontal="center"/>
    </xf>
    <xf numFmtId="0" fontId="21" fillId="22" borderId="34" xfId="0" applyFont="1" applyFill="1" applyBorder="1" applyAlignment="1">
      <alignment horizontal="center"/>
    </xf>
    <xf numFmtId="0" fontId="21" fillId="23" borderId="32" xfId="0" applyFont="1" applyFill="1" applyBorder="1" applyAlignment="1">
      <alignment horizontal="center"/>
    </xf>
    <xf numFmtId="187" fontId="21" fillId="22" borderId="34" xfId="0" applyNumberFormat="1" applyFont="1" applyFill="1" applyBorder="1" applyAlignment="1">
      <alignment horizontal="center"/>
    </xf>
    <xf numFmtId="0" fontId="26" fillId="0" borderId="0" xfId="0" applyFont="1" applyBorder="1" applyAlignment="1">
      <alignment horizontal="center"/>
    </xf>
    <xf numFmtId="0" fontId="21" fillId="0" borderId="0" xfId="0" applyFont="1" applyAlignment="1">
      <alignment horizontal="center"/>
    </xf>
    <xf numFmtId="0" fontId="21" fillId="22" borderId="0" xfId="0" applyFont="1" applyFill="1" applyAlignment="1">
      <alignment horizontal="center"/>
    </xf>
    <xf numFmtId="187" fontId="21" fillId="22" borderId="0" xfId="0" applyNumberFormat="1" applyFont="1" applyFill="1" applyAlignment="1">
      <alignment horizontal="center"/>
    </xf>
    <xf numFmtId="49" fontId="21" fillId="22" borderId="0" xfId="0" applyNumberFormat="1" applyFont="1" applyFill="1" applyAlignment="1">
      <alignment horizontal="center"/>
    </xf>
    <xf numFmtId="10" fontId="21" fillId="0" borderId="0" xfId="0" applyNumberFormat="1" applyFont="1"/>
    <xf numFmtId="187" fontId="21" fillId="0" borderId="0" xfId="0" applyNumberFormat="1" applyFont="1" applyAlignment="1">
      <alignment horizontal="center"/>
    </xf>
    <xf numFmtId="0" fontId="26" fillId="19" borderId="0" xfId="0" applyFont="1" applyFill="1" applyBorder="1" applyAlignment="1">
      <alignment horizontal="center"/>
    </xf>
    <xf numFmtId="10" fontId="21" fillId="0" borderId="0" xfId="4" applyNumberFormat="1" applyFont="1" applyBorder="1" applyAlignment="1" applyProtection="1">
      <alignment horizontal="center"/>
    </xf>
    <xf numFmtId="0" fontId="21" fillId="0" borderId="0" xfId="0" applyFont="1" applyAlignment="1"/>
    <xf numFmtId="0" fontId="26" fillId="19" borderId="0" xfId="0" applyFont="1" applyFill="1" applyBorder="1" applyAlignment="1">
      <alignment horizontal="center" vertical="center"/>
    </xf>
    <xf numFmtId="0" fontId="26" fillId="20" borderId="25" xfId="0" applyFont="1" applyFill="1" applyBorder="1" applyAlignment="1">
      <alignment horizontal="center" vertical="center"/>
    </xf>
    <xf numFmtId="184" fontId="21" fillId="22" borderId="26" xfId="0" applyNumberFormat="1" applyFont="1" applyFill="1" applyBorder="1" applyAlignment="1">
      <alignment horizontal="center" vertical="center"/>
    </xf>
    <xf numFmtId="0" fontId="26" fillId="23" borderId="26" xfId="0" applyFont="1" applyFill="1" applyBorder="1" applyAlignment="1">
      <alignment horizontal="center" vertical="center"/>
    </xf>
    <xf numFmtId="184" fontId="26" fillId="22" borderId="26" xfId="0" applyNumberFormat="1" applyFont="1" applyFill="1" applyBorder="1" applyAlignment="1">
      <alignment horizontal="center" vertical="center"/>
    </xf>
    <xf numFmtId="10" fontId="21" fillId="0" borderId="0" xfId="0" applyNumberFormat="1" applyFont="1" applyAlignment="1">
      <alignment horizontal="center"/>
    </xf>
    <xf numFmtId="10" fontId="21" fillId="22" borderId="0" xfId="4" applyNumberFormat="1" applyFont="1" applyFill="1" applyBorder="1" applyAlignment="1" applyProtection="1">
      <alignment horizontal="center"/>
    </xf>
    <xf numFmtId="0" fontId="21" fillId="0" borderId="0" xfId="0" applyFont="1" applyAlignment="1">
      <alignment horizontal="center" vertical="center"/>
    </xf>
    <xf numFmtId="0" fontId="21" fillId="0" borderId="0" xfId="0" applyFont="1" applyAlignment="1">
      <alignment vertical="center"/>
    </xf>
    <xf numFmtId="187" fontId="21" fillId="22" borderId="0" xfId="0" applyNumberFormat="1" applyFont="1" applyFill="1" applyAlignment="1">
      <alignment horizontal="center" vertical="center"/>
    </xf>
    <xf numFmtId="187" fontId="0" fillId="22" borderId="0" xfId="0" applyNumberFormat="1" applyFill="1" applyAlignment="1">
      <alignment horizontal="center"/>
    </xf>
    <xf numFmtId="187" fontId="21" fillId="0" borderId="0" xfId="0" applyNumberFormat="1" applyFont="1" applyAlignment="1">
      <alignment horizontal="left" vertical="center"/>
    </xf>
    <xf numFmtId="10" fontId="21" fillId="0" borderId="0" xfId="4" applyNumberFormat="1" applyFont="1" applyBorder="1" applyAlignment="1" applyProtection="1">
      <alignment horizontal="center" vertical="center"/>
    </xf>
    <xf numFmtId="0" fontId="21" fillId="0" borderId="0" xfId="0" applyFont="1" applyAlignment="1">
      <alignment wrapText="1"/>
    </xf>
    <xf numFmtId="10" fontId="21" fillId="22" borderId="0" xfId="4" applyNumberFormat="1" applyFont="1" applyFill="1" applyBorder="1" applyAlignment="1" applyProtection="1">
      <alignment horizontal="center" vertical="center"/>
    </xf>
    <xf numFmtId="10" fontId="21" fillId="13" borderId="0" xfId="4" applyNumberFormat="1" applyFont="1" applyFill="1" applyBorder="1" applyAlignment="1" applyProtection="1">
      <alignment horizontal="center" vertical="center"/>
    </xf>
    <xf numFmtId="187" fontId="21" fillId="13" borderId="0" xfId="0" applyNumberFormat="1" applyFont="1" applyFill="1" applyAlignment="1">
      <alignment horizontal="center"/>
    </xf>
    <xf numFmtId="0" fontId="26" fillId="19" borderId="0" xfId="0" applyFont="1" applyFill="1" applyBorder="1" applyAlignment="1">
      <alignment horizontal="center" wrapText="1"/>
    </xf>
    <xf numFmtId="186" fontId="21" fillId="22" borderId="0" xfId="0" applyNumberFormat="1" applyFont="1" applyFill="1" applyAlignment="1">
      <alignment horizontal="center"/>
    </xf>
    <xf numFmtId="0" fontId="21" fillId="0" borderId="0" xfId="0" applyFont="1" applyAlignment="1">
      <alignment vertical="center" wrapText="1"/>
    </xf>
    <xf numFmtId="0" fontId="36" fillId="0" borderId="0" xfId="0" applyFont="1" applyAlignment="1">
      <alignment horizontal="center" vertical="center" wrapText="1"/>
    </xf>
    <xf numFmtId="187" fontId="36" fillId="0" borderId="0" xfId="0" applyNumberFormat="1" applyFont="1" applyAlignment="1">
      <alignment vertical="center"/>
    </xf>
    <xf numFmtId="187" fontId="36" fillId="0" borderId="0" xfId="0" applyNumberFormat="1" applyFont="1" applyAlignment="1">
      <alignment horizontal="center"/>
    </xf>
    <xf numFmtId="187" fontId="37" fillId="22" borderId="0" xfId="0" applyNumberFormat="1" applyFont="1" applyFill="1" applyAlignment="1">
      <alignment horizontal="center"/>
    </xf>
    <xf numFmtId="187" fontId="21" fillId="0" borderId="0" xfId="0" applyNumberFormat="1" applyFont="1" applyAlignment="1">
      <alignment horizontal="center" vertical="center"/>
    </xf>
    <xf numFmtId="0" fontId="26" fillId="19" borderId="23" xfId="0" applyFont="1" applyFill="1" applyBorder="1" applyAlignment="1">
      <alignment horizontal="center" vertical="center"/>
    </xf>
    <xf numFmtId="0" fontId="21" fillId="20" borderId="25" xfId="0" applyFont="1" applyFill="1" applyBorder="1" applyAlignment="1">
      <alignment horizontal="left" vertical="center"/>
    </xf>
    <xf numFmtId="0" fontId="21" fillId="23" borderId="26" xfId="0" applyFont="1" applyFill="1" applyBorder="1" applyAlignment="1">
      <alignment horizontal="left" vertical="center"/>
    </xf>
    <xf numFmtId="184" fontId="21" fillId="22" borderId="0" xfId="0" applyNumberFormat="1" applyFont="1" applyFill="1"/>
    <xf numFmtId="185" fontId="21" fillId="22" borderId="0" xfId="0" applyNumberFormat="1" applyFont="1" applyFill="1" applyAlignment="1">
      <alignment horizontal="center" vertical="center"/>
    </xf>
    <xf numFmtId="0" fontId="21" fillId="0" borderId="0" xfId="0" applyFont="1" applyAlignment="1">
      <alignment horizontal="right"/>
    </xf>
    <xf numFmtId="0" fontId="21" fillId="19" borderId="0" xfId="0" applyFont="1" applyFill="1"/>
    <xf numFmtId="0" fontId="26" fillId="19" borderId="0" xfId="0" applyFont="1" applyFill="1" applyAlignment="1">
      <alignment horizontal="center" vertical="center"/>
    </xf>
    <xf numFmtId="187" fontId="26" fillId="19" borderId="0" xfId="0" applyNumberFormat="1" applyFont="1" applyFill="1" applyAlignment="1">
      <alignment horizontal="center"/>
    </xf>
    <xf numFmtId="0" fontId="38" fillId="19" borderId="27" xfId="0" applyFont="1" applyFill="1" applyBorder="1" applyAlignment="1">
      <alignment horizontal="center"/>
    </xf>
    <xf numFmtId="0" fontId="27" fillId="20" borderId="28" xfId="0" applyFont="1" applyFill="1" applyBorder="1" applyAlignment="1">
      <alignment horizontal="left" wrapText="1"/>
    </xf>
    <xf numFmtId="0" fontId="27" fillId="21" borderId="0" xfId="0" applyFont="1" applyFill="1" applyBorder="1" applyAlignment="1">
      <alignment horizontal="left" wrapText="1"/>
    </xf>
    <xf numFmtId="49" fontId="0" fillId="21" borderId="0" xfId="0" applyNumberFormat="1" applyFont="1" applyFill="1" applyBorder="1" applyAlignment="1">
      <alignment horizontal="left"/>
    </xf>
    <xf numFmtId="0" fontId="0" fillId="21" borderId="0" xfId="0" applyFont="1" applyFill="1" applyBorder="1" applyAlignment="1">
      <alignment horizontal="left"/>
    </xf>
    <xf numFmtId="0" fontId="27" fillId="0" borderId="0" xfId="0" applyFont="1" applyBorder="1" applyAlignment="1">
      <alignment horizontal="left" wrapText="1"/>
    </xf>
    <xf numFmtId="0" fontId="0" fillId="0" borderId="0" xfId="0" applyFont="1" applyBorder="1" applyAlignment="1">
      <alignment horizontal="left"/>
    </xf>
    <xf numFmtId="0" fontId="39" fillId="19" borderId="29" xfId="0" applyFont="1" applyFill="1" applyBorder="1" applyAlignment="1">
      <alignment horizontal="center"/>
    </xf>
    <xf numFmtId="0" fontId="0" fillId="20" borderId="30" xfId="0" applyFont="1" applyFill="1" applyBorder="1" applyAlignment="1">
      <alignment horizontal="center"/>
    </xf>
    <xf numFmtId="0" fontId="0" fillId="20" borderId="25" xfId="0" applyFont="1" applyFill="1" applyBorder="1"/>
    <xf numFmtId="0" fontId="0" fillId="22" borderId="25" xfId="0" applyFont="1" applyFill="1" applyBorder="1" applyAlignment="1">
      <alignment horizontal="center"/>
    </xf>
    <xf numFmtId="0" fontId="0" fillId="23" borderId="31" xfId="0" applyFont="1" applyFill="1" applyBorder="1" applyAlignment="1">
      <alignment horizontal="center"/>
    </xf>
    <xf numFmtId="0" fontId="0" fillId="23" borderId="32" xfId="0" applyFont="1" applyFill="1" applyBorder="1"/>
    <xf numFmtId="0" fontId="0" fillId="22" borderId="32" xfId="0" applyFont="1" applyFill="1" applyBorder="1" applyAlignment="1">
      <alignment horizontal="center"/>
    </xf>
    <xf numFmtId="0" fontId="0" fillId="20" borderId="31" xfId="0" applyFont="1" applyFill="1" applyBorder="1" applyAlignment="1">
      <alignment horizontal="center"/>
    </xf>
    <xf numFmtId="0" fontId="0" fillId="20" borderId="32" xfId="0" applyFont="1" applyFill="1" applyBorder="1"/>
    <xf numFmtId="0" fontId="39" fillId="19" borderId="27" xfId="0" applyFont="1" applyFill="1" applyBorder="1" applyAlignment="1">
      <alignment horizontal="center"/>
    </xf>
    <xf numFmtId="0" fontId="39" fillId="19" borderId="33" xfId="0" applyFont="1" applyFill="1" applyBorder="1" applyAlignment="1">
      <alignment horizontal="center" wrapText="1"/>
    </xf>
    <xf numFmtId="0" fontId="39" fillId="19" borderId="23" xfId="0" applyFont="1" applyFill="1" applyBorder="1" applyAlignment="1">
      <alignment horizontal="center"/>
    </xf>
    <xf numFmtId="0" fontId="0" fillId="20" borderId="32" xfId="0" applyFont="1" applyFill="1" applyBorder="1" applyAlignment="1">
      <alignment horizontal="center"/>
    </xf>
    <xf numFmtId="0" fontId="0" fillId="22" borderId="34" xfId="0" applyFont="1" applyFill="1" applyBorder="1" applyAlignment="1">
      <alignment horizontal="center"/>
    </xf>
    <xf numFmtId="0" fontId="0" fillId="23" borderId="32" xfId="0" applyFont="1" applyFill="1" applyBorder="1" applyAlignment="1">
      <alignment horizontal="center"/>
    </xf>
    <xf numFmtId="187" fontId="0" fillId="22" borderId="34" xfId="0" applyNumberFormat="1" applyFont="1" applyFill="1" applyBorder="1" applyAlignment="1">
      <alignment horizontal="center"/>
    </xf>
    <xf numFmtId="0" fontId="27" fillId="0" borderId="0" xfId="0" applyFont="1" applyBorder="1" applyAlignment="1">
      <alignment horizontal="center"/>
    </xf>
    <xf numFmtId="0" fontId="0" fillId="0" borderId="0" xfId="0" applyFont="1" applyAlignment="1">
      <alignment horizontal="center"/>
    </xf>
    <xf numFmtId="0" fontId="0" fillId="22" borderId="0" xfId="0" applyFill="1" applyAlignment="1">
      <alignment horizontal="center"/>
    </xf>
    <xf numFmtId="0" fontId="0" fillId="22" borderId="0" xfId="0" applyFont="1" applyFill="1" applyAlignment="1">
      <alignment horizontal="center"/>
    </xf>
    <xf numFmtId="49" fontId="0" fillId="22" borderId="0" xfId="0" applyNumberFormat="1" applyFont="1" applyFill="1" applyAlignment="1">
      <alignment horizontal="center"/>
    </xf>
    <xf numFmtId="0" fontId="0" fillId="0" borderId="0" xfId="0" applyFont="1"/>
    <xf numFmtId="10" fontId="0" fillId="0" borderId="0" xfId="0" applyNumberFormat="1"/>
    <xf numFmtId="187" fontId="0" fillId="0" borderId="0" xfId="0" applyNumberFormat="1" applyAlignment="1">
      <alignment horizontal="center"/>
    </xf>
    <xf numFmtId="0" fontId="39" fillId="19"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39" fillId="19" borderId="0" xfId="0" applyFont="1" applyFill="1" applyBorder="1" applyAlignment="1">
      <alignment horizontal="center" vertical="center"/>
    </xf>
    <xf numFmtId="0" fontId="27" fillId="20" borderId="25" xfId="0" applyFont="1" applyFill="1" applyBorder="1" applyAlignment="1">
      <alignment horizontal="center" vertical="center"/>
    </xf>
    <xf numFmtId="184" fontId="0" fillId="22" borderId="26" xfId="0" applyNumberFormat="1" applyFont="1" applyFill="1" applyBorder="1" applyAlignment="1">
      <alignment horizontal="center" vertical="center"/>
    </xf>
    <xf numFmtId="0" fontId="27" fillId="23" borderId="26" xfId="0" applyFont="1" applyFill="1" applyBorder="1" applyAlignment="1">
      <alignment horizontal="center" vertical="center"/>
    </xf>
    <xf numFmtId="184" fontId="27" fillId="22" borderId="26" xfId="0" applyNumberFormat="1" applyFont="1" applyFill="1" applyBorder="1" applyAlignment="1">
      <alignment horizontal="center" vertical="center"/>
    </xf>
    <xf numFmtId="10" fontId="0" fillId="0" borderId="0" xfId="0" applyNumberFormat="1" applyAlignment="1">
      <alignment horizontal="center"/>
    </xf>
    <xf numFmtId="10" fontId="0" fillId="22" borderId="0" xfId="4" applyNumberFormat="1" applyFont="1" applyFill="1" applyBorder="1" applyAlignment="1" applyProtection="1">
      <alignment horizontal="center"/>
    </xf>
    <xf numFmtId="187" fontId="0" fillId="22"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7" fontId="0" fillId="22" borderId="0" xfId="0" applyNumberFormat="1" applyFill="1" applyAlignment="1">
      <alignment horizontal="center" vertical="center"/>
    </xf>
    <xf numFmtId="187"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2" borderId="0" xfId="4" applyNumberFormat="1" applyFont="1" applyFill="1" applyBorder="1" applyAlignment="1" applyProtection="1">
      <alignment horizontal="center" vertical="center"/>
    </xf>
    <xf numFmtId="10" fontId="0" fillId="13" borderId="0" xfId="4" applyNumberFormat="1" applyFont="1" applyFill="1" applyBorder="1" applyAlignment="1" applyProtection="1">
      <alignment horizontal="center" vertical="center"/>
    </xf>
    <xf numFmtId="187" fontId="0" fillId="13" borderId="0" xfId="0" applyNumberFormat="1" applyFill="1" applyAlignment="1">
      <alignment horizontal="center"/>
    </xf>
    <xf numFmtId="0" fontId="39" fillId="19" borderId="0" xfId="0" applyFont="1" applyFill="1" applyBorder="1" applyAlignment="1">
      <alignment horizontal="center" wrapText="1"/>
    </xf>
    <xf numFmtId="186" fontId="0" fillId="22" borderId="0" xfId="0" applyNumberFormat="1" applyFill="1" applyAlignment="1">
      <alignment horizontal="center"/>
    </xf>
    <xf numFmtId="0" fontId="0" fillId="0" borderId="0" xfId="0" applyAlignment="1">
      <alignment vertical="center" wrapText="1"/>
    </xf>
    <xf numFmtId="0" fontId="36" fillId="0" borderId="0" xfId="0" applyFont="1" applyAlignment="1">
      <alignment horizontal="center"/>
    </xf>
    <xf numFmtId="187" fontId="40" fillId="22" borderId="0" xfId="0" applyNumberFormat="1" applyFont="1" applyFill="1" applyAlignment="1">
      <alignment horizontal="center"/>
    </xf>
    <xf numFmtId="187" fontId="0" fillId="0" borderId="0" xfId="0" applyNumberFormat="1" applyAlignment="1">
      <alignment horizontal="center" vertical="center"/>
    </xf>
    <xf numFmtId="187" fontId="21" fillId="22" borderId="0" xfId="0" applyNumberFormat="1" applyFont="1" applyFill="1" applyAlignment="1">
      <alignment horizontal="center"/>
    </xf>
    <xf numFmtId="0" fontId="39" fillId="19" borderId="23" xfId="0" applyFont="1" applyFill="1" applyBorder="1" applyAlignment="1">
      <alignment horizontal="center" vertical="center"/>
    </xf>
    <xf numFmtId="0" fontId="0" fillId="20" borderId="25" xfId="0" applyFont="1" applyFill="1" applyBorder="1" applyAlignment="1">
      <alignment horizontal="left" vertical="center"/>
    </xf>
    <xf numFmtId="0" fontId="0" fillId="23" borderId="26" xfId="0" applyFont="1" applyFill="1" applyBorder="1" applyAlignment="1">
      <alignment horizontal="left" vertical="center"/>
    </xf>
    <xf numFmtId="184" fontId="0" fillId="22" borderId="0" xfId="0" applyNumberFormat="1" applyFill="1" applyAlignment="1">
      <alignment horizontal="center"/>
    </xf>
    <xf numFmtId="185" fontId="0" fillId="22"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1" fillId="19" borderId="0" xfId="0" applyFont="1" applyFill="1"/>
    <xf numFmtId="0" fontId="39" fillId="19" borderId="0" xfId="0" applyFont="1" applyFill="1" applyAlignment="1">
      <alignment horizontal="center" vertical="center"/>
    </xf>
    <xf numFmtId="187" fontId="39" fillId="19" borderId="0" xfId="0" applyNumberFormat="1" applyFont="1" applyFill="1" applyAlignment="1">
      <alignment horizontal="center"/>
    </xf>
    <xf numFmtId="0" fontId="42" fillId="0" borderId="0" xfId="0" applyFont="1"/>
    <xf numFmtId="180" fontId="0" fillId="0" borderId="0" xfId="0" applyNumberFormat="1" applyAlignment="1">
      <alignment horizontal="center" vertical="center"/>
    </xf>
    <xf numFmtId="0" fontId="41" fillId="19" borderId="0" xfId="0" applyFont="1" applyFill="1" applyAlignment="1">
      <alignment wrapText="1"/>
    </xf>
    <xf numFmtId="0" fontId="39" fillId="19" borderId="0" xfId="0" applyFont="1" applyFill="1" applyAlignment="1">
      <alignment horizontal="center" vertical="center" wrapText="1"/>
    </xf>
    <xf numFmtId="187" fontId="39" fillId="19" borderId="0" xfId="0" applyNumberFormat="1" applyFont="1" applyFill="1" applyAlignment="1">
      <alignment horizontal="center" wrapText="1"/>
    </xf>
    <xf numFmtId="187" fontId="0" fillId="13" borderId="0" xfId="0" applyNumberFormat="1" applyFill="1" applyAlignment="1">
      <alignment horizontal="center" vertical="center"/>
    </xf>
    <xf numFmtId="181" fontId="0" fillId="22" borderId="0" xfId="0" applyNumberFormat="1" applyFill="1" applyAlignment="1">
      <alignment horizontal="center" vertical="center"/>
    </xf>
    <xf numFmtId="0" fontId="27" fillId="0" borderId="35" xfId="0" applyFont="1" applyBorder="1" applyAlignment="1">
      <alignment horizontal="center"/>
    </xf>
    <xf numFmtId="177" fontId="0" fillId="22" borderId="0" xfId="9" applyFont="1" applyFill="1" applyBorder="1" applyAlignment="1" applyProtection="1">
      <alignment horizontal="center"/>
    </xf>
    <xf numFmtId="188" fontId="0" fillId="22" borderId="0" xfId="0" applyNumberFormat="1" applyFill="1" applyAlignment="1">
      <alignment horizontal="center"/>
    </xf>
    <xf numFmtId="9" fontId="0" fillId="22" borderId="0" xfId="0" applyNumberFormat="1" applyFill="1" applyAlignment="1">
      <alignment horizontal="center"/>
    </xf>
    <xf numFmtId="0" fontId="0" fillId="0" borderId="0" xfId="0" applyFont="1" applyAlignment="1"/>
    <xf numFmtId="10" fontId="0" fillId="22" borderId="0" xfId="4" applyNumberFormat="1" applyFont="1" applyFill="1" applyBorder="1" applyAlignment="1" applyProtection="1"/>
    <xf numFmtId="10" fontId="0" fillId="0" borderId="0" xfId="4" applyNumberFormat="1" applyFont="1" applyBorder="1" applyAlignment="1" applyProtection="1"/>
    <xf numFmtId="0" fontId="27" fillId="0" borderId="0" xfId="0" applyFont="1" applyBorder="1" applyAlignment="1">
      <alignment horizontal="center" vertical="center"/>
    </xf>
    <xf numFmtId="0" fontId="27"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7" fontId="0" fillId="0" borderId="0" xfId="0" applyNumberFormat="1" applyFont="1" applyAlignment="1">
      <alignment horizontal="center" vertical="center" wrapText="1"/>
    </xf>
    <xf numFmtId="187" fontId="41" fillId="19" borderId="0" xfId="0" applyNumberFormat="1" applyFont="1" applyFill="1" applyAlignment="1">
      <alignment horizontal="center"/>
    </xf>
    <xf numFmtId="0" fontId="27" fillId="24" borderId="36" xfId="0" applyFont="1" applyFill="1" applyBorder="1" applyAlignment="1">
      <alignment horizontal="center"/>
    </xf>
    <xf numFmtId="0" fontId="0" fillId="24" borderId="0" xfId="0" applyFont="1" applyFill="1" applyBorder="1" applyAlignment="1">
      <alignment horizontal="left" vertical="center" wrapText="1"/>
    </xf>
    <xf numFmtId="0" fontId="0" fillId="24" borderId="0" xfId="0" applyFont="1" applyFill="1" applyBorder="1" applyAlignment="1">
      <alignment horizontal="left" wrapText="1"/>
    </xf>
    <xf numFmtId="0" fontId="27" fillId="24" borderId="0" xfId="0" applyFont="1" applyFill="1" applyBorder="1" applyAlignment="1">
      <alignment horizontal="left" vertical="center" wrapText="1"/>
    </xf>
    <xf numFmtId="0" fontId="16" fillId="24" borderId="0" xfId="0" applyFont="1" applyFill="1" applyBorder="1" applyAlignment="1">
      <alignment horizontal="center"/>
    </xf>
    <xf numFmtId="0" fontId="0" fillId="24"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0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vertical="center" wrapText="1"/>
    </dxf>
    <dxf>
      <alignment horizontal="center" vertical="center"/>
    </dxf>
    <dxf>
      <alignment horizontal="center" vertical="center" wrapText="1"/>
    </dxf>
    <dxf>
      <alignment horizontal="center" vertical="center"/>
    </dxf>
    <dxf>
      <alignment horizontal="center" vertical="center" wrapText="1"/>
    </dxf>
    <dxf>
      <alignment horizontal="center" vertical="center"/>
    </dxf>
    <dxf>
      <alignment vertical="center" wrapText="1"/>
    </dxf>
    <dxf>
      <alignment wrapText="1"/>
    </dxf>
    <dxf>
      <alignment horizontal="center" vertical="center"/>
    </dxf>
    <dxf>
      <alignment wrapText="1"/>
    </dxf>
    <dxf>
      <alignment wrapText="1"/>
    </dxf>
    <dxf>
      <numFmt numFmtId="180"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5:D82" totalsRowCount="1">
  <autoFilter ref="A75:D81"/>
  <tableColumns count="4">
    <tableColumn id="1" name="3" totalsRowLabel="Total" dataDxfId="82"/>
    <tableColumn id="2" name="Provisão para Rescisão" dataDxfId="83"/>
    <tableColumn id="3" name="Percentual" totalsRowFunction="custom">
      <totalsRowFormula>SUM(C76:C81)</totalsRowFormula>
       dataDxfId="84"
    </tableColumn>
    <tableColumn id="4" name="Valor" totalsRowFunction="custom">
      <totalsRowFormula>TRUNC((SUM(D76:D81)),2)</totalsRowFormula>
       dataDxfId="85"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8:D135" totalsRowCount="1">
  <tableColumns count="4">
    <tableColumn id="1" name="6" totalsRowLabel="Total" dataDxfId="86"/>
    <tableColumn id="2" name="Custos Indiretos, Tributos e Lucro" dataDxfId="87"/>
    <tableColumn id="3" name="Percentual" dataDxfId="88"/>
    <tableColumn id="4" name="Valor" totalsRowFunction="custom">
      <totalsRowFormula>SUM(D129:D131)</totalsRowFormula>
       dataDxfId="89"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90"/>
    <tableColumn id="2" name="Descrição" dataDxfId="91"/>
    <tableColumn id="3" name="Comentário" dataDxfId="92"/>
    <tableColumn id="4" name="Valor" dataDxfId="93"/>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1:D103" totalsRowCount="1">
  <autoFilter ref="A101:D102"/>
  <tableColumns count="4">
    <tableColumn id="1" name="4.2" totalsRowLabel="Total" dataDxfId="94"/>
    <tableColumn id="2" name="Substituto na Intrajornada " dataDxfId="95"/>
    <tableColumn id="3" name="Comentário" dataDxfId="96"/>
    <tableColumn id="4" name="Valor" totalsRowFunction="custom">
      <totalsRowFormula>D102</totalsRowFormula>
       dataDxfId="97"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39:D147" totalsRowShown="0">
  <autoFilter ref="A139:D147"/>
  <tableColumns count="4">
    <tableColumn id="1" name="Item" dataDxfId="98"/>
    <tableColumn id="2" name="Mão de obra vinculada à execução contratual" dataDxfId="99"/>
    <tableColumn id="3" name="-" dataDxfId="100"/>
    <tableColumn id="4" name="Valor" dataDxfId="101"/>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102"/>
    <tableColumn id="2" name="Composição da Remuneração" dataDxfId="103"/>
    <tableColumn id="3" name="Comentário" dataDxfId="104"/>
    <tableColumn id="4" name="Valor" totalsRowFunction="custom">
      <totalsRowFormula>TRUNC((SUM(D25:D30)),2)</totalsRowFormula>
       dataDxfId="105"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1:D98" totalsRowCount="1">
  <autoFilter ref="A91:D97"/>
  <tableColumns count="4">
    <tableColumn id="1" name="4.1" totalsRowLabel="Total" dataDxfId="106"/>
    <tableColumn id="2" name="Substituto nas Ausências Legais" dataDxfId="107"/>
    <tableColumn id="3" name="Percentual" totalsRowFunction="custom">
      <totalsRowFormula>SUM(C92:C97)</totalsRowFormula>
       dataDxfId="108"
    </tableColumn>
    <tableColumn id="4" name="Valor" totalsRowFunction="custom">
      <totalsRowFormula>TRUNC((SUM(D92:D97)),2)</totalsRowFormula>
       dataDxfId="109"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10"/>
    <tableColumn id="2" name="13º (décimo terceiro) Salário, Férias e Adicional de Férias" dataDxfId="111"/>
    <tableColumn id="3" name="Percentual" dataDxfId="112"/>
    <tableColumn id="4" name="Valor" totalsRowFunction="custom">
      <totalsRowFormula>TRUNC((SUM(D37:D38)),2)</totalsRowFormula>
       dataDxfId="113"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5" totalsRowCount="1">
  <autoFilter ref="A58:D64"/>
  <tableColumns count="4">
    <tableColumn id="1" name="2.3" totalsRowLabel="Total" dataDxfId="114"/>
    <tableColumn id="2" name="Benefícios Mensais e Diários" dataDxfId="115"/>
    <tableColumn id="3" name="Comentário" dataDxfId="116"/>
    <tableColumn id="4" name="Valor" totalsRowFunction="custom">
      <totalsRowFormula>TRUNC((SUM(D59:D64)),2)</totalsRowFormula>
       dataDxfId="117"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8:D72" totalsRowCount="1">
  <autoFilter ref="A68:D71"/>
  <tableColumns count="4">
    <tableColumn id="1" name="2" totalsRowLabel="Total" dataDxfId="118"/>
    <tableColumn id="2" name="Encargos e Benefícios Anuais, Mensais e Diários" dataDxfId="119"/>
    <tableColumn id="3" name="Comentário" dataDxfId="120"/>
    <tableColumn id="4" name="Valor" totalsRowFunction="custom">
      <totalsRowFormula>TRUNC((SUM(D69:D71)),2)</totalsRowFormula>
       dataDxfId="121"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22"/>
    <tableColumn id="2" name="GPS, FGTS e outras contribuições" dataDxfId="123"/>
    <tableColumn id="3" name="Percentual" totalsRowFunction="custom">
      <totalsRowFormula>SUM(C47:C54)</totalsRowFormula>
       dataDxfId="124"
    </tableColumn>
    <tableColumn id="4" name="Valor " totalsRowFunction="custom">
      <totalsRowFormula>TRUNC(SUM(D47:D54),2)</totalsRowFormula>
       dataDxfId="125"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126"/>
    <tableColumn id="2" name="Custo de Reposição do Profissional Ausente" dataDxfId="127"/>
    <tableColumn id="3" name="Comentário" totalsRowLabel="*Nota: Se o titular USUFRUIR do descanso intrajornada, o total é o somatório dos subitens 4.1 e 4.2" dataDxfId="128"/>
    <tableColumn id="4" name="Valor" totalsRowFunction="custom">
      <totalsRowFormula>TRUNC((SUM(D107:D108)),2)</totalsRowFormula>
       dataDxfId="129"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2:D118" totalsRowCount="1">
  <autoFilter ref="A112:D117"/>
  <tableColumns count="4">
    <tableColumn id="1" name="5" totalsRowLabel="Total" dataDxfId="130"/>
    <tableColumn id="2" name="Insumos Diversos" dataDxfId="131"/>
    <tableColumn id="3" name="Comentário" dataDxfId="132"/>
    <tableColumn id="4" name="Valor" totalsRowFunction="sum" dataDxfId="133"/>
  </tableColumns>
  <tableStyleInfo showFirstColumn="0" showLastColumn="0" showRowStripes="1" showColumnStripes="0"/>
</table>
</file>

<file path=xl/tables/table36.xml><?xml version="1.0" encoding="utf-8"?>
<table xmlns="http://schemas.openxmlformats.org/spreadsheetml/2006/main" id="51" name="Módulo153_52" displayName="Módulo153_52" ref="A24:D31" totalsRowCount="1">
  <autoFilter ref="A24:D30"/>
  <tableColumns count="4">
    <tableColumn id="1" name="1" totalsRowLabel="Total" dataDxfId="134"/>
    <tableColumn id="2" name="Composição da Remuneração" dataDxfId="135"/>
    <tableColumn id="3" name="Comentário" dataDxfId="136"/>
    <tableColumn id="4" name="Valor" totalsRowFunction="custom">
      <totalsRowFormula>TRUNC((SUM(D25:D30)),2)</totalsRowFormula>
       dataDxfId="137"
    </tableColumn>
  </tableColumns>
  <tableStyleInfo showFirstColumn="0" showLastColumn="0" showRowStripes="1" showColumnStripes="0"/>
</table>
</file>

<file path=xl/tables/table37.xml><?xml version="1.0" encoding="utf-8"?>
<table xmlns="http://schemas.openxmlformats.org/spreadsheetml/2006/main" id="52" name="Submódulo2.356_53" displayName="Submódulo2.356_53" ref="A58:D65" totalsRowCount="1">
  <autoFilter ref="A58:D64"/>
  <tableColumns count="4">
    <tableColumn id="1" name="2.3" totalsRowLabel="Total" dataDxfId="138"/>
    <tableColumn id="2" name="Benefícios Mensais e Diários" dataDxfId="139"/>
    <tableColumn id="3" name="Comentário" dataDxfId="140"/>
    <tableColumn id="4" name="Valor" totalsRowFunction="custom">
      <totalsRowFormula>TRUNC((SUM(D59:D64)),2)</totalsRowFormula>
       dataDxfId="141"
    </tableColumn>
  </tableColumns>
  <tableStyleInfo showFirstColumn="0" showLastColumn="0" showRowStripes="1" showColumnStripes="0"/>
</table>
</file>

<file path=xl/tables/table38.xml><?xml version="1.0" encoding="utf-8"?>
<table xmlns="http://schemas.openxmlformats.org/spreadsheetml/2006/main" id="53" name="Submódulo4.159_54" displayName="Submódulo4.159_54" ref="A91:D98" totalsRowCount="1">
  <autoFilter ref="A91:D97"/>
  <tableColumns count="4">
    <tableColumn id="1" name="4.1" totalsRowLabel="Total" dataDxfId="142"/>
    <tableColumn id="2" name="Substituto nas Ausências Legais" dataDxfId="143"/>
    <tableColumn id="3" name="Percentual" totalsRowFunction="custom">
      <totalsRowFormula>SUM(C92:C97)</totalsRowFormula>
       dataDxfId="144"
    </tableColumn>
    <tableColumn id="4" name="Valor" totalsRowFunction="custom">
      <totalsRowFormula>TRUNC((SUM(D92:D97)),2)</totalsRowFormula>
       dataDxfId="145"
    </tableColumn>
  </tableColumns>
  <tableStyleInfo showFirstColumn="0" showLastColumn="0" showRowStripes="1" showColumnStripes="0"/>
</table>
</file>

<file path=xl/tables/table39.xml><?xml version="1.0" encoding="utf-8"?>
<table xmlns="http://schemas.openxmlformats.org/spreadsheetml/2006/main" id="54" name="Submódulo4.260_55" displayName="Submódulo4.260_55" ref="A101:D103" totalsRowCount="1">
  <autoFilter ref="A101:D102"/>
  <tableColumns count="4">
    <tableColumn id="1" name="4.2" totalsRowLabel="Total" dataDxfId="146"/>
    <tableColumn id="2" name="Substituto na Intrajornada " dataDxfId="147"/>
    <tableColumn id="3" name="Comentário" dataDxfId="148"/>
    <tableColumn id="4" name="Valor" totalsRowFunction="custom">
      <totalsRowFormula>D102</totalsRowFormula>
       dataDxfId="149"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55" name="Table452_56" displayName="Table452_56" ref="A16:D21" totalsRowShown="0">
  <tableColumns count="4">
    <tableColumn id="1" name="Item" dataDxfId="150"/>
    <tableColumn id="2" name="Descrição" dataDxfId="151"/>
    <tableColumn id="3" name="Comentário" dataDxfId="152"/>
    <tableColumn id="4" name="Valor" dataDxfId="153"/>
  </tableColumns>
  <tableStyleInfo showFirstColumn="0" showLastColumn="0" showRowStripes="1" showColumnStripes="0"/>
</table>
</file>

<file path=xl/tables/table41.xml><?xml version="1.0" encoding="utf-8"?>
<table xmlns="http://schemas.openxmlformats.org/spreadsheetml/2006/main" id="56" name="Módulo358_57" displayName="Módulo358_57" ref="A75:D82" totalsRowCount="1">
  <autoFilter ref="A75:D81"/>
  <tableColumns count="4">
    <tableColumn id="1" name="3" totalsRowLabel="Total" dataDxfId="154"/>
    <tableColumn id="2" name="Provisão para Rescisão" dataDxfId="155"/>
    <tableColumn id="3" name="Percentual" totalsRowFunction="custom">
      <totalsRowFormula>SUM(C76:C81)</totalsRowFormula>
       dataDxfId="156"
    </tableColumn>
    <tableColumn id="4" name="Valor" totalsRowFunction="custom">
      <totalsRowFormula>TRUNC((SUM(D76:D81)),2)</totalsRowFormula>
       dataDxfId="157"
    </tableColumn>
  </tableColumns>
  <tableStyleInfo showFirstColumn="0" showLastColumn="0" showRowStripes="1" showColumnStripes="0"/>
</table>
</file>

<file path=xl/tables/table42.xml><?xml version="1.0" encoding="utf-8"?>
<table xmlns="http://schemas.openxmlformats.org/spreadsheetml/2006/main" id="57" name="Módulo562_58" displayName="Módulo562_58" ref="A112:D118" totalsRowCount="1">
  <autoFilter ref="A112:D117"/>
  <tableColumns count="4">
    <tableColumn id="1" name="5" totalsRowLabel="Total" dataDxfId="158"/>
    <tableColumn id="2" name="Insumos Diversos" dataDxfId="159"/>
    <tableColumn id="3" name="Comentário" dataDxfId="160"/>
    <tableColumn id="4" name="Valor" totalsRowFunction="custom">
      <totalsRowFormula>TRUNC(SUM(D113:D117),2)</totalsRowFormula>
       dataDxfId="161"
    </tableColumn>
  </tableColumns>
  <tableStyleInfo showFirstColumn="0" showLastColumn="0" showRowStripes="1" showColumnStripes="0"/>
</table>
</file>

<file path=xl/tables/table43.xml><?xml version="1.0" encoding="utf-8"?>
<table xmlns="http://schemas.openxmlformats.org/spreadsheetml/2006/main" id="58" name="Módulo663_59" displayName="Módulo663_59" ref="A128:D135" totalsRowCount="1">
  <tableColumns count="4">
    <tableColumn id="1" name="6" totalsRowLabel="Total" dataDxfId="162"/>
    <tableColumn id="2" name="Custos Indiretos, Tributos e Lucro" dataDxfId="163"/>
    <tableColumn id="3" name="Percentual" dataDxfId="164"/>
    <tableColumn id="4" name="Valor" totalsRowFunction="custom">
      <totalsRowFormula>TRUNC(SUM(D129:D131),2)</totalsRowFormula>
       dataDxfId="165"
    </tableColumn>
  </tableColumns>
  <tableStyleInfo showFirstColumn="0" showLastColumn="0" showRowStripes="1" showColumnStripes="0"/>
</table>
</file>

<file path=xl/tables/table44.xml><?xml version="1.0" encoding="utf-8"?>
<table xmlns="http://schemas.openxmlformats.org/spreadsheetml/2006/main" id="59" name="ResumoMódulo257_60" displayName="ResumoMódulo257_60" ref="A68:D72" totalsRowCount="1">
  <autoFilter ref="A68:D71"/>
  <tableColumns count="4">
    <tableColumn id="1" name="2" totalsRowLabel="Total" dataDxfId="166"/>
    <tableColumn id="2" name="Encargos e Benefícios Anuais, Mensais e Diários" dataDxfId="167"/>
    <tableColumn id="3" name="Comentário" dataDxfId="168"/>
    <tableColumn id="4" name="Valor" totalsRowFunction="custom">
      <totalsRowFormula>TRUNC((SUM(D69:D71)),2)</totalsRowFormula>
       dataDxfId="169"
    </tableColumn>
  </tableColumns>
  <tableStyleInfo showFirstColumn="0" showLastColumn="0" showRowStripes="1" showColumnStripes="0"/>
</table>
</file>

<file path=xl/tables/table45.xml><?xml version="1.0" encoding="utf-8"?>
<table xmlns="http://schemas.openxmlformats.org/spreadsheetml/2006/main" id="60" name="Submódulo2.154_61" displayName="Submódulo2.154_61" ref="A36:D39" totalsRowCount="1">
  <autoFilter ref="A36:D38"/>
  <tableColumns count="4">
    <tableColumn id="1" name="2.1" totalsRowLabel="Total" dataDxfId="170"/>
    <tableColumn id="2" name="13º (décimo terceiro) Salário, Férias e Adicional de Férias" dataDxfId="171"/>
    <tableColumn id="3" name="Percentual" dataDxfId="172"/>
    <tableColumn id="4" name="Valor" totalsRowFunction="custom">
      <totalsRowFormula>TRUNC((SUM(D37:D38)),2)</totalsRowFormula>
       dataDxfId="173"
    </tableColumn>
  </tableColumns>
  <tableStyleInfo showFirstColumn="0" showLastColumn="0" showRowStripes="1" showColumnStripes="0"/>
</table>
</file>

<file path=xl/tables/table46.xml><?xml version="1.0" encoding="utf-8"?>
<table xmlns="http://schemas.openxmlformats.org/spreadsheetml/2006/main" id="61" name="ResumoMódulo461_62" displayName="ResumoMódulo461_62" ref="A106:D109" totalsRowCount="1">
  <autoFilter ref="A106:D108"/>
  <tableColumns count="4">
    <tableColumn id="1" name="4" totalsRowLabel="Total" dataDxfId="174"/>
    <tableColumn id="2" name="Custo de Reposição do Profissional Ausente" dataDxfId="175"/>
    <tableColumn id="3" name="Comentário" totalsRowLabel="*Nota: Se o titular USUFRUIR do descanso intrajornada, o total é o somatório dos subitens 4.1 e 4.2" dataDxfId="176"/>
    <tableColumn id="4" name="Valor" totalsRowFunction="custom">
      <totalsRowFormula>TRUNC((SUM(D107:D108)),2)</totalsRowFormula>
       dataDxfId="177"
    </tableColumn>
  </tableColumns>
  <tableStyleInfo showFirstColumn="0" showLastColumn="0" showRowStripes="1" showColumnStripes="0"/>
</table>
</file>

<file path=xl/tables/table47.xml><?xml version="1.0" encoding="utf-8"?>
<table xmlns="http://schemas.openxmlformats.org/spreadsheetml/2006/main" id="62" name="Submódulo2.255_63" displayName="Submódulo2.255_63" ref="A46:D55" totalsRowCount="1">
  <autoFilter ref="A46:D54"/>
  <tableColumns count="4">
    <tableColumn id="1" name="2.2" totalsRowLabel="Total" dataDxfId="178"/>
    <tableColumn id="2" name="GPS, FGTS e outras contribuições" dataDxfId="179"/>
    <tableColumn id="3" name="Percentual" totalsRowFunction="custom">
      <totalsRowFormula>SUM(C47:C54)</totalsRowFormula>
       dataDxfId="180"
    </tableColumn>
    <tableColumn id="4" name="Valor " totalsRowFunction="custom">
      <totalsRowFormula>TRUNC((SUM(D47:D54)),2)</totalsRowFormula>
       dataDxfId="181"
    </tableColumn>
  </tableColumns>
  <tableStyleInfo showFirstColumn="0" showLastColumn="0" showRowStripes="1" showColumnStripes="0"/>
</table>
</file>

<file path=xl/tables/table48.xml><?xml version="1.0" encoding="utf-8"?>
<table xmlns="http://schemas.openxmlformats.org/spreadsheetml/2006/main" id="63" name="ResumoPosto64_64" displayName="ResumoPosto64_64" ref="A139:D148" totalsRowShown="0">
  <autoFilter ref="A139:D148"/>
  <tableColumns count="4">
    <tableColumn id="1" name="Item" dataDxfId="182"/>
    <tableColumn id="2" name="Mão de obra vinculada à execução contratual" dataDxfId="183"/>
    <tableColumn id="3" name="-" dataDxfId="184"/>
    <tableColumn id="4" name="Valor" dataDxfId="185"/>
  </tableColumns>
  <tableStyleInfo showFirstColumn="0" showLastColumn="0" showRowStripes="1" showColumnStripes="0"/>
</table>
</file>

<file path=xl/tables/table49.xml><?xml version="1.0" encoding="utf-8"?>
<table xmlns="http://schemas.openxmlformats.org/spreadsheetml/2006/main" id="77" name="Módulo153_78" displayName="Módulo153_78" ref="A24:D31" totalsRowCount="1">
  <autoFilter ref="A24:D30"/>
  <tableColumns count="4">
    <tableColumn id="1" name="1" totalsRowLabel="Total" dataDxfId="186"/>
    <tableColumn id="2" name="Composição da Remuneração" dataDxfId="187"/>
    <tableColumn id="3" name="Comentário" dataDxfId="188"/>
    <tableColumn id="4" name="Valor" totalsRowFunction="custom">
      <totalsRowFormula>TRUNC(SUM(D25:D30),2)</totalsRowFormula>
       dataDxfId="189"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78" name="Submódulo2.356_79" displayName="Submódulo2.356_79" ref="A58:D65" totalsRowCount="1">
  <autoFilter ref="A58:D64"/>
  <tableColumns count="4">
    <tableColumn id="1" name="2.3" totalsRowLabel="Total" dataDxfId="190"/>
    <tableColumn id="2" name="Benefícios Mensais e Diários" dataDxfId="191"/>
    <tableColumn id="3" name="Comentário" dataDxfId="192"/>
    <tableColumn id="4" name="Valor" totalsRowFunction="custom">
      <totalsRowFormula>TRUNC((SUM(D59:D64)),2)</totalsRowFormula>
       dataDxfId="193"
    </tableColumn>
  </tableColumns>
  <tableStyleInfo showFirstColumn="0" showLastColumn="0" showRowStripes="1" showColumnStripes="0"/>
</table>
</file>

<file path=xl/tables/table51.xml><?xml version="1.0" encoding="utf-8"?>
<table xmlns="http://schemas.openxmlformats.org/spreadsheetml/2006/main" id="79" name="Submódulo4.159_80" displayName="Submódulo4.159_80" ref="A91:D98" totalsRowCount="1">
  <autoFilter ref="A91:D97"/>
  <tableColumns count="4">
    <tableColumn id="1" name="4.1" totalsRowLabel="Total" dataDxfId="194"/>
    <tableColumn id="2" name="Substituto nas Ausências Legais" dataDxfId="195"/>
    <tableColumn id="3" name="Percentual" totalsRowFunction="custom">
      <totalsRowFormula>SUM(C92:C97)</totalsRowFormula>
       dataDxfId="196"
    </tableColumn>
    <tableColumn id="4" name="Valor" totalsRowFunction="custom">
      <totalsRowFormula>TRUNC((SUM(D92:D97)),2)</totalsRowFormula>
       dataDxfId="197"
    </tableColumn>
  </tableColumns>
  <tableStyleInfo showFirstColumn="0" showLastColumn="0" showRowStripes="1" showColumnStripes="0"/>
</table>
</file>

<file path=xl/tables/table52.xml><?xml version="1.0" encoding="utf-8"?>
<table xmlns="http://schemas.openxmlformats.org/spreadsheetml/2006/main" id="80" name="Submódulo4.260_81" displayName="Submódulo4.260_81" ref="A101:D103" totalsRowCount="1">
  <autoFilter ref="A101:D102"/>
  <tableColumns count="4">
    <tableColumn id="1" name="4.2" totalsRowLabel="Total" dataDxfId="198"/>
    <tableColumn id="2" name="Substituto na Intrajornada " dataDxfId="199"/>
    <tableColumn id="3" name="Comentário" dataDxfId="200"/>
    <tableColumn id="4" name="Valor" totalsRowFunction="custom">
      <totalsRowFormula>D102</totalsRowFormula>
       dataDxfId="201"
    </tableColumn>
  </tableColumns>
  <tableStyleInfo showFirstColumn="0" showLastColumn="0" showRowStripes="1" showColumnStripes="0"/>
</table>
</file>

<file path=xl/tables/table53.xml><?xml version="1.0" encoding="utf-8"?>
<table xmlns="http://schemas.openxmlformats.org/spreadsheetml/2006/main" id="81" name="Table452_82" displayName="Table452_82" ref="A16:D21" totalsRowShown="0">
  <tableColumns count="4">
    <tableColumn id="1" name="Item" dataDxfId="202"/>
    <tableColumn id="2" name="Descrição" dataDxfId="203"/>
    <tableColumn id="3" name="Comentário" dataDxfId="204"/>
    <tableColumn id="4" name="Valor" dataDxfId="205"/>
  </tableColumns>
  <tableStyleInfo showFirstColumn="0" showLastColumn="0" showRowStripes="1" showColumnStripes="0"/>
</table>
</file>

<file path=xl/tables/table54.xml><?xml version="1.0" encoding="utf-8"?>
<table xmlns="http://schemas.openxmlformats.org/spreadsheetml/2006/main" id="82" name="Módulo358_83" displayName="Módulo358_83" ref="A75:D82" totalsRowCount="1">
  <autoFilter ref="A75:D81"/>
  <tableColumns count="4">
    <tableColumn id="1" name="3" totalsRowLabel="Total" dataDxfId="206"/>
    <tableColumn id="2" name="Provisão para Rescisão" dataDxfId="207"/>
    <tableColumn id="3" name="Percentual" totalsRowFunction="custom">
      <totalsRowFormula>SUM(C76:C81)</totalsRowFormula>
       dataDxfId="208"
    </tableColumn>
    <tableColumn id="4" name="Valor" totalsRowFunction="custom">
      <totalsRowFormula>TRUNC((SUM(D76:D81)),2)</totalsRowFormula>
       dataDxfId="209"
    </tableColumn>
  </tableColumns>
  <tableStyleInfo showFirstColumn="0" showLastColumn="0" showRowStripes="1" showColumnStripes="0"/>
</table>
</file>

<file path=xl/tables/table55.xml><?xml version="1.0" encoding="utf-8"?>
<table xmlns="http://schemas.openxmlformats.org/spreadsheetml/2006/main" id="83" name="Módulo562_84" displayName="Módulo562_84" ref="A112:D118" totalsRowCount="1">
  <autoFilter ref="A112:D117"/>
  <tableColumns count="4">
    <tableColumn id="1" name="5" totalsRowLabel="Total" dataDxfId="210"/>
    <tableColumn id="2" name="Insumos Diversos" dataDxfId="211"/>
    <tableColumn id="3" name="Comentário" dataDxfId="212"/>
    <tableColumn id="4" name="Valor" totalsRowFunction="sum" dataDxfId="213"/>
  </tableColumns>
  <tableStyleInfo showFirstColumn="0" showLastColumn="0" showRowStripes="1" showColumnStripes="0"/>
</table>
</file>

<file path=xl/tables/table56.xml><?xml version="1.0" encoding="utf-8"?>
<table xmlns="http://schemas.openxmlformats.org/spreadsheetml/2006/main" id="84" name="Módulo663_85" displayName="Módulo663_85" ref="A128:D135" totalsRowCount="1">
  <tableColumns count="4">
    <tableColumn id="1" name="6" totalsRowLabel="Total" dataDxfId="214"/>
    <tableColumn id="2" name="Custos Indiretos, Tributos e Lucro" dataDxfId="215"/>
    <tableColumn id="3" name="Percentual" dataDxfId="216"/>
    <tableColumn id="4" name="Valor" totalsRowFunction="custom">
      <totalsRowFormula>TRUNC(SUM(D129:D131),2)</totalsRowFormula>
       dataDxfId="217"
    </tableColumn>
  </tableColumns>
  <tableStyleInfo showFirstColumn="0" showLastColumn="0" showRowStripes="1" showColumnStripes="0"/>
</table>
</file>

<file path=xl/tables/table57.xml><?xml version="1.0" encoding="utf-8"?>
<table xmlns="http://schemas.openxmlformats.org/spreadsheetml/2006/main" id="85" name="ResumoMódulo257_86" displayName="ResumoMódulo257_86" ref="A68:D72" totalsRowCount="1">
  <autoFilter ref="A68:D71"/>
  <tableColumns count="4">
    <tableColumn id="1" name="2" totalsRowLabel="Total" dataDxfId="218"/>
    <tableColumn id="2" name="Encargos e Benefícios Anuais, Mensais e Diários" dataDxfId="219"/>
    <tableColumn id="3" name="Comentário" dataDxfId="220"/>
    <tableColumn id="4" name="Valor" totalsRowFunction="custom">
      <totalsRowFormula>TRUNC(SUM(D69:D71),2)</totalsRowFormula>
       dataDxfId="221"
    </tableColumn>
  </tableColumns>
  <tableStyleInfo showFirstColumn="0" showLastColumn="0" showRowStripes="1" showColumnStripes="0"/>
</table>
</file>

<file path=xl/tables/table58.xml><?xml version="1.0" encoding="utf-8"?>
<table xmlns="http://schemas.openxmlformats.org/spreadsheetml/2006/main" id="86" name="Submódulo2.154_87" displayName="Submódulo2.154_87" ref="A36:D39" totalsRowCount="1">
  <autoFilter ref="A36:D38"/>
  <tableColumns count="4">
    <tableColumn id="1" name="2.1" totalsRowLabel="Total" dataDxfId="222"/>
    <tableColumn id="2" name="13º (décimo terceiro) Salário, Férias e Adicional de Férias" dataDxfId="223"/>
    <tableColumn id="3" name="Percentual" dataDxfId="224"/>
    <tableColumn id="4" name="Valor" totalsRowFunction="custom">
      <totalsRowFormula>TRUNC((SUM(D37:D38)),2)</totalsRowFormula>
       dataDxfId="225"
    </tableColumn>
  </tableColumns>
  <tableStyleInfo showFirstColumn="0" showLastColumn="0" showRowStripes="1" showColumnStripes="0"/>
</table>
</file>

<file path=xl/tables/table59.xml><?xml version="1.0" encoding="utf-8"?>
<table xmlns="http://schemas.openxmlformats.org/spreadsheetml/2006/main" id="87" name="ResumoMódulo461_88" displayName="ResumoMódulo461_88" ref="A106:D109" totalsRowCount="1">
  <autoFilter ref="A106:D108"/>
  <tableColumns count="4">
    <tableColumn id="1" name="4" totalsRowLabel="Total" dataDxfId="226"/>
    <tableColumn id="2" name="Custo de Reposição do Profissional Ausente" dataDxfId="227"/>
    <tableColumn id="3" name="Comentário" totalsRowLabel="*Nota: Se o titular USUFRUIR do descanso intrajornada, o total é o somatório dos subitens 4.1 e 4.2" dataDxfId="228"/>
    <tableColumn id="4" name="Valor" totalsRowFunction="custom">
      <totalsRowFormula>TRUNC((SUM(D107:D108)),2)</totalsRowFormula>
       dataDxfId="229"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88" name="Submódulo2.255_89" displayName="Submódulo2.255_89" ref="A46:D55" totalsRowCount="1">
  <autoFilter ref="A46:D54"/>
  <tableColumns count="4">
    <tableColumn id="1" name="2.2" totalsRowLabel="Total" dataDxfId="230"/>
    <tableColumn id="2" name="GPS, FGTS e outras contribuições" dataDxfId="231"/>
    <tableColumn id="3" name="Percentual" totalsRowFunction="custom">
      <totalsRowFormula>SUM(C47:C54)</totalsRowFormula>
       dataDxfId="232"
    </tableColumn>
    <tableColumn id="4" name="Valor " totalsRowFunction="custom">
      <totalsRowFormula>TRUNC((SUM(D47:D54)),2)</totalsRowFormula>
       dataDxfId="233"
    </tableColumn>
  </tableColumns>
  <tableStyleInfo showFirstColumn="0" showLastColumn="0" showRowStripes="1" showColumnStripes="0"/>
</table>
</file>

<file path=xl/tables/table61.xml><?xml version="1.0" encoding="utf-8"?>
<table xmlns="http://schemas.openxmlformats.org/spreadsheetml/2006/main" id="89" name="ResumoPosto64_90" displayName="ResumoPosto64_90" ref="A139:D147" totalsRowShown="0">
  <autoFilter ref="A139:D147"/>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62.xml><?xml version="1.0" encoding="utf-8"?>
<table xmlns="http://schemas.openxmlformats.org/spreadsheetml/2006/main" id="9" name="Módulo153_7828" displayName="Módulo153_7828" ref="A24:D31" totalsRowCount="1">
  <autoFilter ref="A24:D30"/>
  <tableColumns count="4">
    <tableColumn id="1" name="1" totalsRowLabel="Total" dataDxfId="238"/>
    <tableColumn id="2" name="Composição da Remuneração" dataDxfId="239"/>
    <tableColumn id="3" name="Comentário" dataDxfId="240"/>
    <tableColumn id="4" name="Valor" totalsRowFunction="custom">
      <totalsRowFormula>TRUNC(SUM(D25:D30),2)</totalsRowFormula>
       dataDxfId="241"
    </tableColumn>
  </tableColumns>
  <tableStyleInfo showFirstColumn="0" showLastColumn="0" showRowStripes="1" showColumnStripes="0"/>
</table>
</file>

<file path=xl/tables/table63.xml><?xml version="1.0" encoding="utf-8"?>
<table xmlns="http://schemas.openxmlformats.org/spreadsheetml/2006/main" id="11" name="ResumoMódulo257_8630" displayName="ResumoMódulo257_8630" ref="A68:D72" totalsRowCount="1">
  <autoFilter ref="A68:D71"/>
  <tableColumns count="4">
    <tableColumn id="1" name="2" totalsRowLabel="Total" dataDxfId="242"/>
    <tableColumn id="2" name="Encargos e Benefícios Anuais, Mensais e Diários" dataDxfId="243"/>
    <tableColumn id="3" name="Comentário" dataDxfId="244"/>
    <tableColumn id="4" name="Valor" totalsRowFunction="custom">
      <totalsRowFormula>TRUNC(SUM(D69:D71),2)</totalsRowFormula>
       dataDxfId="245"
    </tableColumn>
  </tableColumns>
  <tableStyleInfo showFirstColumn="0" showLastColumn="0" showRowStripes="1" showColumnStripes="0"/>
</table>
</file>

<file path=xl/tables/table64.xml><?xml version="1.0" encoding="utf-8"?>
<table xmlns="http://schemas.openxmlformats.org/spreadsheetml/2006/main" id="13" name="Submódulo2.356_7931" displayName="Submódulo2.356_7931" ref="A58:D65" totalsRowCount="1">
  <autoFilter ref="A58:D64"/>
  <tableColumns count="4">
    <tableColumn id="1" name="2.3" totalsRowLabel="Total" dataDxfId="246"/>
    <tableColumn id="2" name="Benefícios Mensais e Diários" dataDxfId="247"/>
    <tableColumn id="3" name="Comentário" dataDxfId="248"/>
    <tableColumn id="4" name="Valor" totalsRowFunction="custom">
      <totalsRowFormula>TRUNC((SUM(D59:D64)),2)</totalsRowFormula>
       dataDxfId="249"
    </tableColumn>
  </tableColumns>
  <tableStyleInfo showFirstColumn="0" showLastColumn="0" showRowStripes="1" showColumnStripes="0"/>
</table>
</file>

<file path=xl/tables/table65.xml><?xml version="1.0" encoding="utf-8"?>
<table xmlns="http://schemas.openxmlformats.org/spreadsheetml/2006/main" id="15" name="Módulo663_8532" displayName="Módulo663_8532" ref="A128:D135" totalsRowCount="1">
  <tableColumns count="4">
    <tableColumn id="1" name="6" totalsRowLabel="Total" dataDxfId="250"/>
    <tableColumn id="2" name="Custos Indiretos, Tributos e Lucro" dataDxfId="251"/>
    <tableColumn id="3" name="Percentual" dataDxfId="252"/>
    <tableColumn id="4" name="Valor" totalsRowFunction="custom">
      <totalsRowFormula>TRUNC(SUM(D129:D131),2)</totalsRowFormula>
       dataDxfId="253"
    </tableColumn>
  </tableColumns>
  <tableStyleInfo showFirstColumn="0" showLastColumn="0" showRowStripes="1" showColumnStripes="0"/>
</table>
</file>

<file path=xl/tables/table66.xml><?xml version="1.0" encoding="utf-8"?>
<table xmlns="http://schemas.openxmlformats.org/spreadsheetml/2006/main" id="17" name="ResumoPosto64_9010" displayName="ResumoPosto64_9010" ref="A139:D147" totalsRowShown="0">
  <autoFilter ref="A139:D147"/>
  <tableColumns count="4">
    <tableColumn id="1" name="Item" dataDxfId="254"/>
    <tableColumn id="2" name="Mão de obra vinculada à execução contratual" dataDxfId="255"/>
    <tableColumn id="3" name="-" dataDxfId="256"/>
    <tableColumn id="4" name="Valor" dataDxfId="257"/>
  </tableColumns>
  <tableStyleInfo showFirstColumn="0" showLastColumn="0" showRowStripes="1" showColumnStripes="0"/>
</table>
</file>

<file path=xl/tables/table67.xml><?xml version="1.0" encoding="utf-8"?>
<table xmlns="http://schemas.openxmlformats.org/spreadsheetml/2006/main" id="19" name="Submódulo2.154_8712" displayName="Submódulo2.154_8712" ref="A36:D39" totalsRowCount="1">
  <autoFilter ref="A36:D38"/>
  <tableColumns count="4">
    <tableColumn id="1" name="2.1" totalsRowLabel="Total" dataDxfId="258"/>
    <tableColumn id="2" name="13º (décimo terceiro) Salário, Férias e Adicional de Férias" dataDxfId="259"/>
    <tableColumn id="3" name="Percentual" dataDxfId="260"/>
    <tableColumn id="4" name="Valor" totalsRowFunction="custom">
      <totalsRowFormula>TRUNC((SUM(D37:D38)),2)</totalsRowFormula>
       dataDxfId="261"
    </tableColumn>
  </tableColumns>
  <tableStyleInfo showFirstColumn="0" showLastColumn="0" showRowStripes="1" showColumnStripes="0"/>
</table>
</file>

<file path=xl/tables/table68.xml><?xml version="1.0" encoding="utf-8"?>
<table xmlns="http://schemas.openxmlformats.org/spreadsheetml/2006/main" id="21" name="Módulo562_8424" displayName="Módulo562_8424" ref="A112:D118" totalsRowCount="1">
  <autoFilter ref="A112:D117"/>
  <tableColumns count="4">
    <tableColumn id="1" name="5" totalsRowLabel="Total" dataDxfId="262"/>
    <tableColumn id="2" name="Insumos Diversos" dataDxfId="263"/>
    <tableColumn id="3" name="Comentário" dataDxfId="264"/>
    <tableColumn id="4" name="Valor" totalsRowFunction="custom">
      <totalsRowFormula>TRUNC(SUM((D113:D117)),2)</totalsRowFormula>
       dataDxfId="265"
    </tableColumn>
  </tableColumns>
  <tableStyleInfo showFirstColumn="0" showLastColumn="0" showRowStripes="1" showColumnStripes="0"/>
</table>
</file>

<file path=xl/tables/table69.xml><?xml version="1.0" encoding="utf-8"?>
<table xmlns="http://schemas.openxmlformats.org/spreadsheetml/2006/main" id="23" name="ResumoMódulo461_8814" displayName="ResumoMódulo461_8814" ref="A106:D109" totalsRowCount="1">
  <autoFilter ref="A106:D108"/>
  <tableColumns count="4">
    <tableColumn id="1" name="4" totalsRowLabel="Total" dataDxfId="266"/>
    <tableColumn id="2" name="Custo de Reposição do Profissional Ausente" dataDxfId="267"/>
    <tableColumn id="3" name="Comentário" totalsRowLabel="*Nota: Se o titular USUFRUIR do descanso intrajornada, o total é o somatório dos subitens 4.1 e 4.2" dataDxfId="268"/>
    <tableColumn id="4" name="Valor" totalsRowFunction="custom">
      <totalsRowFormula>TRUNC((SUM(D107:D108)),2)</totalsRowFormula>
       dataDxfId="269"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25" name="Submódulo2.255_8916" displayName="Submódulo2.255_8916" ref="A46:D55" totalsRowCount="1">
  <autoFilter ref="A46:D54"/>
  <tableColumns count="4">
    <tableColumn id="1" name="2.2" totalsRowLabel="Total" dataDxfId="270"/>
    <tableColumn id="2" name="GPS, FGTS e outras contribuições" dataDxfId="271"/>
    <tableColumn id="3" name="Percentual" totalsRowFunction="custom">
      <totalsRowFormula>SUM(C47:C54)</totalsRowFormula>
       dataDxfId="272"
    </tableColumn>
    <tableColumn id="4" name="Valor " totalsRowFunction="custom">
      <totalsRowFormula>TRUNC((SUM(D47:D54)),2)</totalsRowFormula>
       dataDxfId="273"
    </tableColumn>
  </tableColumns>
  <tableStyleInfo showFirstColumn="0" showLastColumn="0" showRowStripes="1" showColumnStripes="0"/>
</table>
</file>

<file path=xl/tables/table71.xml><?xml version="1.0" encoding="utf-8"?>
<table xmlns="http://schemas.openxmlformats.org/spreadsheetml/2006/main" id="27" name="Submódulo4.260_8120" displayName="Submódulo4.260_8120" ref="A101:D103" totalsRowCount="1">
  <autoFilter ref="A101:D102"/>
  <tableColumns count="4">
    <tableColumn id="1" name="4.2" totalsRowLabel="Total" dataDxfId="274"/>
    <tableColumn id="2" name="Substituto na Intrajornada " dataDxfId="275"/>
    <tableColumn id="3" name="Comentário" dataDxfId="276"/>
    <tableColumn id="4" name="Valor" totalsRowFunction="custom">
      <totalsRowFormula>D102</totalsRowFormula>
       dataDxfId="277"
    </tableColumn>
  </tableColumns>
  <tableStyleInfo showFirstColumn="0" showLastColumn="0" showRowStripes="1" showColumnStripes="0"/>
</table>
</file>

<file path=xl/tables/table72.xml><?xml version="1.0" encoding="utf-8"?>
<table xmlns="http://schemas.openxmlformats.org/spreadsheetml/2006/main" id="29" name="Submódulo4.159_8018" displayName="Submódulo4.159_8018" ref="A91:D98" totalsRowCount="1">
  <autoFilter ref="A91:D97"/>
  <tableColumns count="4">
    <tableColumn id="1" name="4.1" totalsRowLabel="Total" dataDxfId="278"/>
    <tableColumn id="2" name="Substituto nas Ausências Legais" dataDxfId="279"/>
    <tableColumn id="3" name="Percentual" totalsRowFunction="custom">
      <totalsRowFormula>SUM(C92:C97)</totalsRowFormula>
       dataDxfId="280"
    </tableColumn>
    <tableColumn id="4" name="Valor" totalsRowFunction="custom">
      <totalsRowFormula>TRUNC((SUM(D92:D97)),2)</totalsRowFormula>
       dataDxfId="281"
    </tableColumn>
  </tableColumns>
  <tableStyleInfo showFirstColumn="0" showLastColumn="0" showRowStripes="1" showColumnStripes="0"/>
</table>
</file>

<file path=xl/tables/table73.xml><?xml version="1.0" encoding="utf-8"?>
<table xmlns="http://schemas.openxmlformats.org/spreadsheetml/2006/main" id="30" name="Table452_8222" displayName="Table452_8222" ref="A16:D21" totalsRowShown="0">
  <tableColumns count="4">
    <tableColumn id="1" name="Item" dataDxfId="282"/>
    <tableColumn id="2" name="Descrição" dataDxfId="283"/>
    <tableColumn id="3" name="Comentário" dataDxfId="284"/>
    <tableColumn id="4" name="Valor" dataDxfId="285"/>
  </tableColumns>
  <tableStyleInfo showFirstColumn="0" showLastColumn="0" showRowStripes="1" showColumnStripes="0"/>
</table>
</file>

<file path=xl/tables/table74.xml><?xml version="1.0" encoding="utf-8"?>
<table xmlns="http://schemas.openxmlformats.org/spreadsheetml/2006/main" id="31" name="Módulo358_8326" displayName="Módulo358_8326" ref="A75:D82" totalsRowCount="1">
  <autoFilter ref="A75:D81"/>
  <tableColumns count="4">
    <tableColumn id="1" name="3" totalsRowLabel="Total" dataDxfId="286"/>
    <tableColumn id="2" name="Provisão para Rescisão" dataDxfId="287"/>
    <tableColumn id="3" name="Percentual" totalsRowFunction="custom">
      <totalsRowFormula>SUM(C76:C81)</totalsRowFormula>
       dataDxfId="288"
    </tableColumn>
    <tableColumn id="4" name="Valor" totalsRowFunction="custom">
      <totalsRowFormula>TRUNC((SUM(D76:D81)),2)</totalsRowFormula>
       dataDxfId="289"
    </tableColumn>
  </tableColumns>
  <tableStyleInfo showFirstColumn="0" showLastColumn="0" showRowStripes="1" showColumnStripes="0"/>
</table>
</file>

<file path=xl/tables/table75.xml><?xml version="1.0" encoding="utf-8"?>
<table xmlns="http://schemas.openxmlformats.org/spreadsheetml/2006/main" id="38" name="Table43_14365" displayName="Table43_14365" ref="A3:H10">
  <autoFilter ref="A3:H10"/>
  <tableColumns count="8">
    <tableColumn id="1" name="ITEM" totalsRowLabel="Total"/>
    <tableColumn id="2" name="PEÇA" dataDxfId="290"/>
    <tableColumn id="3" name="DESCRIÇÃO"/>
    <tableColumn id="4" name="UNIDADE" dataDxfId="291"/>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76.xml><?xml version="1.0" encoding="utf-8"?>
<table xmlns="http://schemas.openxmlformats.org/spreadsheetml/2006/main" id="39" name="Table43_143656667" displayName="Table43_143656667" ref="A16:H23">
  <autoFilter ref="A16:H23"/>
  <tableColumns count="8">
    <tableColumn id="1" name="ITEM" totalsRowLabel="Total"/>
    <tableColumn id="2" name="PEÇA" dataDxfId="292"/>
    <tableColumn id="3" name="DESCRIÇÃO"/>
    <tableColumn id="4" name="UNIDADE" dataDxfId="293"/>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77.xml><?xml version="1.0" encoding="utf-8"?>
<table xmlns="http://schemas.openxmlformats.org/spreadsheetml/2006/main" id="40" name="Table43_14368" displayName="Table43_14368" ref="A29:H36">
  <autoFilter ref="A29:H36"/>
  <tableColumns count="8">
    <tableColumn id="1" name="ITEM" totalsRowLabel="Total"/>
    <tableColumn id="2" name="PEÇA" dataDxfId="294"/>
    <tableColumn id="3" name="DESCRIÇÃO"/>
    <tableColumn id="4" name="UNIDADE" dataDxfId="295"/>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78.xml><?xml version="1.0" encoding="utf-8"?>
<table xmlns="http://schemas.openxmlformats.org/spreadsheetml/2006/main" id="41" name="Table43_2" displayName="Table43_2" ref="A132:G136" totalsRowCount="1">
  <autoFilter ref="A132:G135"/>
  <tableColumns count="7">
    <tableColumn id="1" name="Item" totalsRowLabel="Total"/>
    <tableColumn id="2" name="Peça"/>
    <tableColumn id="3" name="Descrição"/>
    <tableColumn id="4" name="Valor Médio Unitário (R$)"/>
    <tableColumn id="5" name="Quantidade Anual"/>
    <tableColumn id="6" name="Valor Anual/ Empregado (R$)"/>
    <tableColumn id="7" name="Valor Mensal/ Empregado" totalsRowFunction="sum"/>
  </tableColumns>
  <tableStyleInfo name="TableStyleMedium14" showFirstColumn="0" showLastColumn="0" showRowStripes="1" showColumnStripes="0"/>
</table>
</file>

<file path=xl/tables/table79.xml><?xml version="1.0" encoding="utf-8"?>
<table xmlns="http://schemas.openxmlformats.org/spreadsheetml/2006/main" id="42" name="Table44" displayName="Table44" ref="A90:F111" totalsRowCount="1">
  <autoFilter ref="A90:F110"/>
  <tableColumns count="6">
    <tableColumn id="1" name="ITEM" totalsRowLabel="Total"/>
    <tableColumn id="2" name="DESCRIÇÃO"/>
    <tableColumn id="3" name="UNIDADE"/>
    <tableColumn id="4" name="QUANTIDADE"/>
    <tableColumn id="5" name="VALOR UNITÁRIO"/>
    <tableColumn id="6" name="VALOR TOTAL" totalsRowFunction="sum"/>
  </tableColumns>
  <tableStyleInfo name="TableStyleMedium14"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7" name="Table39" displayName="Table39" ref="A2:G8" totalsRowCount="1">
  <tableColumns count="7">
    <tableColumn id="1" name="Item" totalsRowLabel="TOTAL" dataDxfId="296"/>
    <tableColumn id="2" name="Descrição" dataDxfId="297"/>
    <tableColumn id="7" name="Unidade" dataDxfId="298"/>
    <tableColumn id="3" name="Quantidade" dataDxfId="299"/>
    <tableColumn id="6" name="VIGÊNCIA " dataDxfId="300"/>
    <tableColumn id="4" name="VALOR UNITÁRIO MÁXIMO ACEITÁVEL" dataDxfId="301"/>
    <tableColumn id="5" name="VALOR TOTAL MÁXIMO ACEITÁVEL" totalsRowFunction="custom">
      <totalsRowFormula>SUM(G3:G7)</totalsRowFormula>
       dataDxfId="302"
    </tableColumn>
  </tableColumns>
  <tableStyleInfo name="TableStyleMedium14"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table" Target="../tables/table80.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7.xml"/><Relationship Id="rId2" Type="http://schemas.openxmlformats.org/officeDocument/2006/relationships/table" Target="../tables/table76.xml"/><Relationship Id="rId1" Type="http://schemas.openxmlformats.org/officeDocument/2006/relationships/table" Target="../tables/table75.xml"/></Relationships>
</file>

<file path=xl/worksheets/_rels/sheet9.xml.rels><?xml version="1.0" encoding="UTF-8" standalone="yes"?>
<Relationships xmlns="http://schemas.openxmlformats.org/package/2006/relationships"><Relationship Id="rId2" Type="http://schemas.openxmlformats.org/officeDocument/2006/relationships/table" Target="../tables/table79.xml"/><Relationship Id="rId1" Type="http://schemas.openxmlformats.org/officeDocument/2006/relationships/table" Target="../tables/table7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305" t="s">
        <v>0</v>
      </c>
      <c r="B1" s="305"/>
      <c r="C1" s="305"/>
      <c r="D1" s="305"/>
      <c r="E1" s="305"/>
      <c r="F1" s="305"/>
      <c r="G1" s="305"/>
      <c r="H1" s="305"/>
      <c r="I1" s="305"/>
      <c r="J1" s="305"/>
      <c r="K1" s="305"/>
    </row>
    <row r="2" ht="57" customHeight="1" spans="1:11">
      <c r="A2" s="306" t="s">
        <v>1</v>
      </c>
      <c r="B2" s="306"/>
      <c r="C2" s="306"/>
      <c r="D2" s="306"/>
      <c r="E2" s="306"/>
      <c r="F2" s="306"/>
      <c r="G2" s="306"/>
      <c r="H2" s="306"/>
      <c r="I2" s="306"/>
      <c r="J2" s="306"/>
      <c r="K2" s="306"/>
    </row>
    <row r="3" ht="51" customHeight="1" spans="1:11">
      <c r="A3" s="306" t="s">
        <v>2</v>
      </c>
      <c r="B3" s="306"/>
      <c r="C3" s="306"/>
      <c r="D3" s="306"/>
      <c r="E3" s="306"/>
      <c r="F3" s="306"/>
      <c r="G3" s="306"/>
      <c r="H3" s="306"/>
      <c r="I3" s="306"/>
      <c r="J3" s="306"/>
      <c r="K3" s="306"/>
    </row>
    <row r="4" ht="54.75" customHeight="1" spans="1:11">
      <c r="A4" s="306" t="s">
        <v>3</v>
      </c>
      <c r="B4" s="306"/>
      <c r="C4" s="306"/>
      <c r="D4" s="306"/>
      <c r="E4" s="306"/>
      <c r="F4" s="306"/>
      <c r="G4" s="306"/>
      <c r="H4" s="306"/>
      <c r="I4" s="306"/>
      <c r="J4" s="306"/>
      <c r="K4" s="306"/>
    </row>
    <row r="5" ht="67.5" customHeight="1" spans="1:11">
      <c r="A5" s="307" t="s">
        <v>4</v>
      </c>
      <c r="B5" s="307"/>
      <c r="C5" s="307"/>
      <c r="D5" s="307"/>
      <c r="E5" s="307"/>
      <c r="F5" s="307"/>
      <c r="G5" s="307"/>
      <c r="H5" s="307"/>
      <c r="I5" s="307"/>
      <c r="J5" s="307"/>
      <c r="K5" s="307"/>
    </row>
    <row r="6" ht="84.75" customHeight="1" spans="1:11">
      <c r="A6" s="307" t="s">
        <v>5</v>
      </c>
      <c r="B6" s="307"/>
      <c r="C6" s="307"/>
      <c r="D6" s="307"/>
      <c r="E6" s="307"/>
      <c r="F6" s="307"/>
      <c r="G6" s="307"/>
      <c r="H6" s="307"/>
      <c r="I6" s="307"/>
      <c r="J6" s="307"/>
      <c r="K6" s="307"/>
    </row>
    <row r="7" ht="49.5" customHeight="1" spans="1:11">
      <c r="A7" s="307" t="s">
        <v>6</v>
      </c>
      <c r="B7" s="307"/>
      <c r="C7" s="307"/>
      <c r="D7" s="307"/>
      <c r="E7" s="307"/>
      <c r="F7" s="307"/>
      <c r="G7" s="307"/>
      <c r="H7" s="307"/>
      <c r="I7" s="307"/>
      <c r="J7" s="307"/>
      <c r="K7" s="307"/>
    </row>
    <row r="8" ht="38.25" customHeight="1" spans="1:11">
      <c r="A8" s="307" t="s">
        <v>7</v>
      </c>
      <c r="B8" s="307"/>
      <c r="C8" s="307"/>
      <c r="D8" s="307"/>
      <c r="E8" s="307"/>
      <c r="F8" s="307"/>
      <c r="G8" s="307"/>
      <c r="H8" s="307"/>
      <c r="I8" s="307"/>
      <c r="J8" s="307"/>
      <c r="K8" s="307"/>
    </row>
    <row r="9" ht="39.75" customHeight="1" spans="1:11">
      <c r="A9" s="306" t="s">
        <v>8</v>
      </c>
      <c r="B9" s="306"/>
      <c r="C9" s="306"/>
      <c r="D9" s="306"/>
      <c r="E9" s="306"/>
      <c r="F9" s="306"/>
      <c r="G9" s="306"/>
      <c r="H9" s="306"/>
      <c r="I9" s="306"/>
      <c r="J9" s="306"/>
      <c r="K9" s="306"/>
    </row>
    <row r="10" ht="41.25" customHeight="1" spans="1:11">
      <c r="A10" s="306" t="s">
        <v>9</v>
      </c>
      <c r="B10" s="306"/>
      <c r="C10" s="306"/>
      <c r="D10" s="306"/>
      <c r="E10" s="306"/>
      <c r="F10" s="306"/>
      <c r="G10" s="306"/>
      <c r="H10" s="306"/>
      <c r="I10" s="306"/>
      <c r="J10" s="306"/>
      <c r="K10" s="306"/>
    </row>
    <row r="11" ht="41.25" customHeight="1" spans="1:11">
      <c r="A11" s="308" t="s">
        <v>10</v>
      </c>
      <c r="B11" s="308"/>
      <c r="C11" s="308"/>
      <c r="D11" s="308"/>
      <c r="E11" s="308"/>
      <c r="F11" s="308"/>
      <c r="G11" s="308"/>
      <c r="H11" s="308"/>
      <c r="I11" s="308"/>
      <c r="J11" s="308"/>
      <c r="K11" s="308"/>
    </row>
    <row r="12" spans="1:11">
      <c r="A12" s="309" t="s">
        <v>11</v>
      </c>
      <c r="B12" s="309"/>
      <c r="C12" s="309"/>
      <c r="D12" s="309"/>
      <c r="E12" s="309"/>
      <c r="F12" s="309"/>
      <c r="G12" s="309"/>
      <c r="H12" s="309"/>
      <c r="I12" s="309"/>
      <c r="J12" s="309"/>
      <c r="K12" s="309"/>
    </row>
    <row r="13" spans="1:11">
      <c r="A13" s="310" t="s">
        <v>12</v>
      </c>
      <c r="B13" s="310"/>
      <c r="C13" s="310"/>
      <c r="D13" s="310"/>
      <c r="E13" s="310"/>
      <c r="F13" s="310"/>
      <c r="G13" s="310"/>
      <c r="H13" s="310"/>
      <c r="I13" s="310"/>
      <c r="J13" s="310"/>
      <c r="K13" s="310"/>
    </row>
    <row r="14" spans="1:11">
      <c r="A14" s="310" t="s">
        <v>13</v>
      </c>
      <c r="B14" s="310"/>
      <c r="C14" s="310"/>
      <c r="D14" s="310"/>
      <c r="E14" s="310"/>
      <c r="F14" s="310"/>
      <c r="G14" s="310"/>
      <c r="H14" s="310"/>
      <c r="I14" s="310"/>
      <c r="J14" s="310"/>
      <c r="K14" s="310"/>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opLeftCell="A6" workbookViewId="0">
      <selection activeCell="E21" sqref="E21:F21"/>
    </sheetView>
  </sheetViews>
  <sheetFormatPr defaultColWidth="8.88888888888889" defaultRowHeight="14.4" outlineLevelCol="5"/>
  <cols>
    <col min="2" max="2" width="38.7777777777778" customWidth="1"/>
    <col min="3" max="3" width="14.8888888888889" customWidth="1"/>
    <col min="4" max="4" width="15.7777777777778" customWidth="1"/>
    <col min="5" max="5" width="12.8888888888889" customWidth="1"/>
    <col min="6" max="6" width="13.8888888888889" customWidth="1"/>
  </cols>
  <sheetData>
    <row r="1" spans="1:6">
      <c r="A1" s="11" t="s">
        <v>448</v>
      </c>
      <c r="B1" s="11"/>
      <c r="C1" s="11"/>
      <c r="D1" s="11"/>
      <c r="E1" s="11"/>
      <c r="F1" s="11"/>
    </row>
    <row r="2" spans="1:6">
      <c r="A2" s="12" t="s">
        <v>272</v>
      </c>
      <c r="B2" s="12" t="s">
        <v>274</v>
      </c>
      <c r="C2" s="12" t="s">
        <v>275</v>
      </c>
      <c r="D2" s="12" t="s">
        <v>277</v>
      </c>
      <c r="E2" s="12" t="s">
        <v>251</v>
      </c>
      <c r="F2" s="12" t="s">
        <v>327</v>
      </c>
    </row>
    <row r="3" spans="1:6">
      <c r="A3" s="12"/>
      <c r="B3" s="12"/>
      <c r="C3" s="12"/>
      <c r="D3" s="12"/>
      <c r="E3" s="12"/>
      <c r="F3" s="12"/>
    </row>
    <row r="4" spans="1:6">
      <c r="A4" s="12"/>
      <c r="B4" s="12"/>
      <c r="C4" s="12"/>
      <c r="D4" s="12"/>
      <c r="E4" s="12"/>
      <c r="F4" s="12"/>
    </row>
    <row r="5" spans="1:4">
      <c r="A5" s="13">
        <v>1</v>
      </c>
      <c r="B5" s="14" t="s">
        <v>449</v>
      </c>
      <c r="C5" s="14"/>
      <c r="D5" s="14"/>
    </row>
    <row r="6" ht="28.8" spans="1:6">
      <c r="A6" s="13"/>
      <c r="B6" s="15" t="s">
        <v>450</v>
      </c>
      <c r="C6" s="16" t="s">
        <v>282</v>
      </c>
      <c r="D6" s="16">
        <v>1</v>
      </c>
      <c r="E6" s="17">
        <v>32.87</v>
      </c>
      <c r="F6" s="17">
        <f>TRUNC(E6*D6,2)</f>
        <v>32.87</v>
      </c>
    </row>
    <row r="7" spans="1:6">
      <c r="A7" s="13"/>
      <c r="B7" s="15" t="s">
        <v>451</v>
      </c>
      <c r="C7" s="16" t="s">
        <v>282</v>
      </c>
      <c r="D7" s="16">
        <v>1</v>
      </c>
      <c r="E7" s="17">
        <v>14.55</v>
      </c>
      <c r="F7" s="17">
        <f t="shared" ref="F7:F18" si="0">TRUNC(E7*D7,2)</f>
        <v>14.55</v>
      </c>
    </row>
    <row r="8" ht="28.8" spans="1:6">
      <c r="A8" s="13"/>
      <c r="B8" s="15" t="s">
        <v>452</v>
      </c>
      <c r="C8" s="16" t="s">
        <v>453</v>
      </c>
      <c r="D8" s="16">
        <v>1</v>
      </c>
      <c r="E8" s="17">
        <v>73.39</v>
      </c>
      <c r="F8" s="17">
        <f t="shared" si="0"/>
        <v>73.39</v>
      </c>
    </row>
    <row r="9" ht="28.8" spans="1:6">
      <c r="A9" s="13"/>
      <c r="B9" s="15" t="s">
        <v>454</v>
      </c>
      <c r="C9" s="16" t="s">
        <v>453</v>
      </c>
      <c r="D9" s="16">
        <v>1</v>
      </c>
      <c r="E9" s="17">
        <v>17.89</v>
      </c>
      <c r="F9" s="17">
        <f t="shared" si="0"/>
        <v>17.89</v>
      </c>
    </row>
    <row r="10" spans="1:6">
      <c r="A10" s="13"/>
      <c r="B10" s="15" t="s">
        <v>455</v>
      </c>
      <c r="C10" s="16" t="s">
        <v>456</v>
      </c>
      <c r="D10" s="16">
        <v>10</v>
      </c>
      <c r="E10" s="17">
        <v>1.5</v>
      </c>
      <c r="F10" s="17">
        <f t="shared" si="0"/>
        <v>15</v>
      </c>
    </row>
    <row r="11" spans="1:6">
      <c r="A11" s="13"/>
      <c r="B11" s="15" t="s">
        <v>457</v>
      </c>
      <c r="C11" s="16" t="s">
        <v>458</v>
      </c>
      <c r="D11" s="16">
        <v>2</v>
      </c>
      <c r="E11" s="17">
        <v>9.44</v>
      </c>
      <c r="F11" s="17">
        <f t="shared" si="0"/>
        <v>18.88</v>
      </c>
    </row>
    <row r="12" spans="1:6">
      <c r="A12" s="13"/>
      <c r="B12" s="15" t="s">
        <v>459</v>
      </c>
      <c r="C12" s="16" t="s">
        <v>458</v>
      </c>
      <c r="D12" s="16">
        <v>5</v>
      </c>
      <c r="E12" s="17">
        <v>0.81</v>
      </c>
      <c r="F12" s="17">
        <f t="shared" si="0"/>
        <v>4.05</v>
      </c>
    </row>
    <row r="13" spans="1:6">
      <c r="A13" s="13"/>
      <c r="B13" s="15" t="s">
        <v>460</v>
      </c>
      <c r="C13" s="16" t="s">
        <v>461</v>
      </c>
      <c r="D13" s="16">
        <v>2</v>
      </c>
      <c r="E13" s="17">
        <v>3.4</v>
      </c>
      <c r="F13" s="17">
        <f t="shared" si="0"/>
        <v>6.8</v>
      </c>
    </row>
    <row r="14" spans="1:6">
      <c r="A14" s="13"/>
      <c r="B14" s="15" t="s">
        <v>462</v>
      </c>
      <c r="C14" s="16" t="s">
        <v>461</v>
      </c>
      <c r="D14" s="16">
        <v>2</v>
      </c>
      <c r="E14" s="17">
        <v>3.35</v>
      </c>
      <c r="F14" s="17">
        <f t="shared" si="0"/>
        <v>6.7</v>
      </c>
    </row>
    <row r="15" ht="28.8" spans="1:6">
      <c r="A15" s="16">
        <v>2</v>
      </c>
      <c r="B15" s="15" t="s">
        <v>463</v>
      </c>
      <c r="C15" s="16" t="s">
        <v>458</v>
      </c>
      <c r="D15" s="16">
        <v>1</v>
      </c>
      <c r="E15" s="17">
        <v>356</v>
      </c>
      <c r="F15" s="17">
        <f t="shared" si="0"/>
        <v>356</v>
      </c>
    </row>
    <row r="16" spans="1:6">
      <c r="A16" s="16">
        <v>3</v>
      </c>
      <c r="B16" s="15" t="s">
        <v>464</v>
      </c>
      <c r="C16" s="16" t="s">
        <v>290</v>
      </c>
      <c r="D16" s="16">
        <v>1</v>
      </c>
      <c r="E16" s="17">
        <v>887.88</v>
      </c>
      <c r="F16" s="17">
        <f t="shared" si="0"/>
        <v>887.88</v>
      </c>
    </row>
    <row r="17" ht="28.8" spans="1:6">
      <c r="A17" s="16">
        <v>4</v>
      </c>
      <c r="B17" s="15" t="s">
        <v>465</v>
      </c>
      <c r="C17" s="16" t="s">
        <v>282</v>
      </c>
      <c r="D17" s="16">
        <v>3</v>
      </c>
      <c r="E17" s="17">
        <v>21.55</v>
      </c>
      <c r="F17" s="17">
        <f t="shared" si="0"/>
        <v>64.65</v>
      </c>
    </row>
    <row r="18" ht="28.8" spans="1:6">
      <c r="A18" s="16">
        <v>5</v>
      </c>
      <c r="B18" s="15" t="s">
        <v>466</v>
      </c>
      <c r="C18" s="16" t="s">
        <v>282</v>
      </c>
      <c r="D18" s="16">
        <v>6</v>
      </c>
      <c r="E18" s="17">
        <v>37.5</v>
      </c>
      <c r="F18" s="17">
        <f t="shared" si="0"/>
        <v>225</v>
      </c>
    </row>
    <row r="19" spans="1:6">
      <c r="A19" s="18" t="s">
        <v>327</v>
      </c>
      <c r="B19" s="18"/>
      <c r="C19" s="18"/>
      <c r="D19" s="18"/>
      <c r="E19" s="19">
        <f>TRUNC(SUM(F6:F18),2)</f>
        <v>1723.66</v>
      </c>
      <c r="F19" s="19"/>
    </row>
    <row r="20" spans="1:6">
      <c r="A20" s="11" t="s">
        <v>467</v>
      </c>
      <c r="B20" s="11"/>
      <c r="C20" s="11"/>
      <c r="D20" s="11"/>
      <c r="E20" s="20">
        <v>9</v>
      </c>
      <c r="F20" s="20"/>
    </row>
    <row r="21" spans="1:6">
      <c r="A21" s="11" t="s">
        <v>410</v>
      </c>
      <c r="B21" s="11"/>
      <c r="C21" s="11"/>
      <c r="D21" s="11"/>
      <c r="E21" s="21">
        <f>TRUNC((E19/E20)/12,2)</f>
        <v>15.95</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tabSelected="1" workbookViewId="0">
      <selection activeCell="F11" sqref="F11"/>
    </sheetView>
  </sheetViews>
  <sheetFormatPr defaultColWidth="8.88888888888889" defaultRowHeight="14.4" outlineLevelCol="6"/>
  <cols>
    <col min="2" max="2" width="31" customWidth="1"/>
    <col min="3" max="3" width="9.33333333333333" customWidth="1"/>
    <col min="4" max="4" width="14.2222222222222" customWidth="1"/>
    <col min="5" max="5" width="13.3333333333333" customWidth="1"/>
    <col min="6" max="6" width="14.8888888888889" customWidth="1"/>
    <col min="7" max="7" width="15" customWidth="1"/>
  </cols>
  <sheetData>
    <row r="1" ht="15.15" spans="1:7">
      <c r="A1" s="1" t="s">
        <v>468</v>
      </c>
      <c r="B1" s="2"/>
      <c r="C1" s="2"/>
      <c r="D1" s="2"/>
      <c r="E1" s="2"/>
      <c r="F1" s="2"/>
      <c r="G1" s="3"/>
    </row>
    <row r="2" ht="58.35" spans="1:7">
      <c r="A2" s="4" t="s">
        <v>16</v>
      </c>
      <c r="B2" s="4" t="s">
        <v>17</v>
      </c>
      <c r="C2" s="4" t="s">
        <v>282</v>
      </c>
      <c r="D2" s="4" t="s">
        <v>469</v>
      </c>
      <c r="E2" s="4" t="s">
        <v>470</v>
      </c>
      <c r="F2" s="4" t="s">
        <v>471</v>
      </c>
      <c r="G2" s="4" t="s">
        <v>472</v>
      </c>
    </row>
    <row r="3" ht="86.4" spans="1:7">
      <c r="A3" s="5">
        <v>1</v>
      </c>
      <c r="B3" s="6" t="s">
        <v>473</v>
      </c>
      <c r="C3" s="4" t="s">
        <v>474</v>
      </c>
      <c r="D3" s="5">
        <v>6</v>
      </c>
      <c r="E3" s="5">
        <v>12</v>
      </c>
      <c r="F3" s="7">
        <f>'Auxiliar Administrativo'!D147</f>
        <v>2969.32</v>
      </c>
      <c r="G3" s="7">
        <f>(D3*F3)*(E3)</f>
        <v>213791.04</v>
      </c>
    </row>
    <row r="4" ht="115.2" spans="1:7">
      <c r="A4" s="5">
        <v>2</v>
      </c>
      <c r="B4" s="6" t="s">
        <v>475</v>
      </c>
      <c r="C4" s="4" t="s">
        <v>474</v>
      </c>
      <c r="D4" s="5">
        <v>1</v>
      </c>
      <c r="E4" s="5">
        <v>12</v>
      </c>
      <c r="F4" s="7">
        <f>Portaria!D148</f>
        <v>6083.64</v>
      </c>
      <c r="G4" s="7">
        <f>(D4*F4)*(E4)</f>
        <v>73003.68</v>
      </c>
    </row>
    <row r="5" ht="86.4" spans="1:7">
      <c r="A5" s="5">
        <v>3</v>
      </c>
      <c r="B5" s="6" t="s">
        <v>476</v>
      </c>
      <c r="C5" s="4" t="s">
        <v>474</v>
      </c>
      <c r="D5" s="5">
        <v>1</v>
      </c>
      <c r="E5" s="5">
        <v>12</v>
      </c>
      <c r="F5" s="7">
        <f>'Motorista Interestadual'!D147</f>
        <v>6400.48</v>
      </c>
      <c r="G5" s="7">
        <f>(D5*F5)*(E5)</f>
        <v>76805.76</v>
      </c>
    </row>
    <row r="6" ht="72" spans="1:7">
      <c r="A6" s="5">
        <v>4</v>
      </c>
      <c r="B6" s="6" t="s">
        <v>477</v>
      </c>
      <c r="C6" s="4" t="s">
        <v>474</v>
      </c>
      <c r="D6" s="5">
        <v>1</v>
      </c>
      <c r="E6" s="5">
        <v>12</v>
      </c>
      <c r="F6" s="7">
        <f>Eletricista!D147</f>
        <v>5163.83</v>
      </c>
      <c r="G6" s="7">
        <f>(D6*F6)*(E6)</f>
        <v>61965.96</v>
      </c>
    </row>
    <row r="7" spans="1:7">
      <c r="A7" s="5">
        <v>5</v>
      </c>
      <c r="B7" s="6" t="s">
        <v>478</v>
      </c>
      <c r="C7" s="4" t="s">
        <v>474</v>
      </c>
      <c r="D7" s="5">
        <v>120</v>
      </c>
      <c r="E7" s="5">
        <v>12</v>
      </c>
      <c r="F7" s="7">
        <f>Diárias!E19</f>
        <v>190.08</v>
      </c>
      <c r="G7" s="7">
        <f>(D7*F7)</f>
        <v>22809.6</v>
      </c>
    </row>
    <row r="8" spans="1:7">
      <c r="A8" s="8" t="s">
        <v>204</v>
      </c>
      <c r="B8" s="8"/>
      <c r="C8" s="8"/>
      <c r="D8" s="8"/>
      <c r="E8" s="8"/>
      <c r="F8" s="8"/>
      <c r="G8" s="9">
        <f>SUM(G3:G7)</f>
        <v>448376.04</v>
      </c>
    </row>
    <row r="9" spans="1:7">
      <c r="A9" s="10"/>
      <c r="B9" s="10"/>
      <c r="C9" s="10"/>
      <c r="D9" s="10"/>
      <c r="E9" s="10"/>
      <c r="F9" s="10"/>
      <c r="G9" s="10"/>
    </row>
    <row r="10" spans="1:7">
      <c r="A10" s="8"/>
      <c r="B10" s="8"/>
      <c r="C10" s="8"/>
      <c r="D10" s="8"/>
      <c r="E10" s="8"/>
      <c r="F10" s="8"/>
      <c r="G10" s="8"/>
    </row>
    <row r="11" spans="1:7">
      <c r="A11" s="8"/>
      <c r="B11" s="8"/>
      <c r="C11" s="8"/>
      <c r="D11" s="8"/>
      <c r="E11" s="8"/>
      <c r="F11" s="8"/>
      <c r="G11" s="8"/>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291" t="s">
        <v>14</v>
      </c>
      <c r="B1" s="291"/>
      <c r="C1" s="291"/>
      <c r="D1" s="291"/>
      <c r="F1" s="239" t="s">
        <v>15</v>
      </c>
      <c r="G1" s="239"/>
      <c r="H1" s="249"/>
      <c r="I1" s="249"/>
      <c r="J1" s="249"/>
      <c r="K1" s="249"/>
      <c r="L1" s="249"/>
      <c r="M1" s="249"/>
      <c r="N1" s="249"/>
      <c r="O1" s="249"/>
      <c r="P1" s="249"/>
      <c r="Q1" s="249"/>
      <c r="R1" s="249"/>
      <c r="S1" s="249"/>
      <c r="T1" s="249"/>
      <c r="U1" s="249"/>
    </row>
    <row r="2" spans="1:21">
      <c r="A2" s="240" t="s">
        <v>16</v>
      </c>
      <c r="B2" t="s">
        <v>17</v>
      </c>
      <c r="C2" s="240" t="s">
        <v>18</v>
      </c>
      <c r="D2" s="240" t="s">
        <v>19</v>
      </c>
      <c r="F2" s="244" t="s">
        <v>17</v>
      </c>
      <c r="G2" s="244" t="s">
        <v>19</v>
      </c>
      <c r="H2" s="249"/>
      <c r="I2" s="249"/>
      <c r="J2" s="249"/>
      <c r="K2" s="249"/>
      <c r="L2" s="249"/>
      <c r="M2" s="249"/>
      <c r="N2" s="249"/>
      <c r="O2" s="249"/>
      <c r="P2" s="249"/>
      <c r="Q2" s="249"/>
      <c r="R2" s="249"/>
      <c r="S2" s="249"/>
      <c r="T2" s="249"/>
      <c r="U2" s="249"/>
    </row>
    <row r="3" spans="1:21">
      <c r="A3" s="240">
        <v>1</v>
      </c>
      <c r="B3" t="s">
        <v>20</v>
      </c>
      <c r="C3" s="240"/>
      <c r="D3" s="240" t="s">
        <v>21</v>
      </c>
      <c r="F3" t="s">
        <v>22</v>
      </c>
      <c r="G3" s="292">
        <v>0</v>
      </c>
      <c r="H3" s="249"/>
      <c r="I3" s="249"/>
      <c r="J3" s="249"/>
      <c r="K3" s="249"/>
      <c r="L3" s="249"/>
      <c r="M3" s="249"/>
      <c r="N3" s="249"/>
      <c r="O3" s="249"/>
      <c r="P3" s="249"/>
      <c r="Q3" s="249"/>
      <c r="R3" s="249"/>
      <c r="S3" s="249"/>
      <c r="T3" s="249"/>
      <c r="U3" s="249"/>
    </row>
    <row r="4" spans="1:21">
      <c r="A4" s="240">
        <v>2</v>
      </c>
      <c r="B4" t="s">
        <v>23</v>
      </c>
      <c r="C4" s="240"/>
      <c r="D4" s="240" t="s">
        <v>24</v>
      </c>
      <c r="F4" t="s">
        <v>25</v>
      </c>
      <c r="G4" s="292">
        <v>12</v>
      </c>
      <c r="H4" s="249"/>
      <c r="I4" s="249"/>
      <c r="J4" s="249"/>
      <c r="K4" s="249"/>
      <c r="L4" s="249"/>
      <c r="M4" s="249"/>
      <c r="N4" s="249"/>
      <c r="O4" s="249"/>
      <c r="P4" s="249"/>
      <c r="Q4" s="249"/>
      <c r="R4" s="249"/>
      <c r="S4" s="249"/>
      <c r="T4" s="249"/>
      <c r="U4" s="249"/>
    </row>
    <row r="5" spans="1:21">
      <c r="A5" s="240">
        <v>3</v>
      </c>
      <c r="B5" t="s">
        <v>26</v>
      </c>
      <c r="C5" s="240" t="s">
        <v>27</v>
      </c>
      <c r="D5" s="293">
        <v>998</v>
      </c>
      <c r="F5" t="s">
        <v>28</v>
      </c>
      <c r="G5" s="241">
        <v>22</v>
      </c>
      <c r="H5" s="249"/>
      <c r="I5" s="249"/>
      <c r="J5" s="249"/>
      <c r="K5" s="249"/>
      <c r="L5" s="249"/>
      <c r="M5" s="249"/>
      <c r="N5" s="249"/>
      <c r="O5" s="249"/>
      <c r="P5" s="249"/>
      <c r="Q5" s="249"/>
      <c r="R5" s="249"/>
      <c r="S5" s="249"/>
      <c r="T5" s="249"/>
      <c r="U5" s="249"/>
    </row>
    <row r="6" spans="1:21">
      <c r="A6" s="240">
        <v>4</v>
      </c>
      <c r="B6" t="s">
        <v>29</v>
      </c>
      <c r="C6" s="240" t="s">
        <v>30</v>
      </c>
      <c r="D6" s="240" t="s">
        <v>31</v>
      </c>
      <c r="F6" t="s">
        <v>32</v>
      </c>
      <c r="G6" s="294">
        <v>0.03</v>
      </c>
      <c r="H6" s="249"/>
      <c r="I6" s="249"/>
      <c r="J6" s="249"/>
      <c r="K6" s="249"/>
      <c r="L6" s="249"/>
      <c r="M6" s="249"/>
      <c r="N6" s="249"/>
      <c r="O6" s="249"/>
      <c r="P6" s="249"/>
      <c r="Q6" s="249"/>
      <c r="R6" s="249"/>
      <c r="S6" s="249"/>
      <c r="T6" s="249"/>
      <c r="U6" s="249"/>
    </row>
    <row r="7" spans="1:21">
      <c r="A7" s="240">
        <v>5</v>
      </c>
      <c r="B7" t="s">
        <v>33</v>
      </c>
      <c r="C7" s="240"/>
      <c r="D7" s="240" t="s">
        <v>34</v>
      </c>
      <c r="H7" s="249"/>
      <c r="I7" s="249"/>
      <c r="J7" s="249"/>
      <c r="K7" s="249"/>
      <c r="L7" s="249"/>
      <c r="M7" s="249"/>
      <c r="N7" s="249"/>
      <c r="O7" s="249"/>
      <c r="P7" s="249"/>
      <c r="Q7" s="249"/>
      <c r="R7" s="249"/>
      <c r="S7" s="249"/>
      <c r="T7" s="249"/>
      <c r="U7" s="249"/>
    </row>
    <row r="8" spans="6:21">
      <c r="F8" s="239" t="s">
        <v>35</v>
      </c>
      <c r="G8" s="239"/>
      <c r="H8" s="249"/>
      <c r="I8" s="249"/>
      <c r="J8" s="249"/>
      <c r="K8" s="249"/>
      <c r="L8" s="249"/>
      <c r="M8" s="249"/>
      <c r="N8" s="249"/>
      <c r="O8" s="249"/>
      <c r="P8" s="249"/>
      <c r="Q8" s="249"/>
      <c r="R8" s="249"/>
      <c r="S8" s="249"/>
      <c r="T8" s="249"/>
      <c r="U8" s="249"/>
    </row>
    <row r="9" spans="1:21">
      <c r="A9" s="223" t="s">
        <v>36</v>
      </c>
      <c r="B9" s="223"/>
      <c r="C9" s="223"/>
      <c r="D9" s="223"/>
      <c r="F9" s="244" t="s">
        <v>37</v>
      </c>
      <c r="G9" s="244" t="s">
        <v>38</v>
      </c>
      <c r="H9" s="249"/>
      <c r="I9" s="249"/>
      <c r="J9" s="249"/>
      <c r="K9" s="249"/>
      <c r="L9" s="249"/>
      <c r="M9" s="249"/>
      <c r="N9" s="249"/>
      <c r="O9" s="249"/>
      <c r="P9" s="249"/>
      <c r="Q9" s="249"/>
      <c r="R9" s="249"/>
      <c r="S9" s="249"/>
      <c r="T9" s="249"/>
      <c r="U9" s="249"/>
    </row>
    <row r="10" spans="1:21">
      <c r="A10" s="240" t="s">
        <v>39</v>
      </c>
      <c r="B10" s="244" t="s">
        <v>40</v>
      </c>
      <c r="C10" s="240" t="s">
        <v>18</v>
      </c>
      <c r="D10" s="240" t="s">
        <v>19</v>
      </c>
      <c r="F10" t="s">
        <v>41</v>
      </c>
      <c r="G10" s="245">
        <v>0.4337</v>
      </c>
      <c r="H10" s="249"/>
      <c r="I10" s="249"/>
      <c r="J10" s="249"/>
      <c r="K10" s="249"/>
      <c r="L10" s="249"/>
      <c r="M10" s="249"/>
      <c r="N10" s="249"/>
      <c r="O10" s="249"/>
      <c r="P10" s="249"/>
      <c r="Q10" s="249"/>
      <c r="R10" s="249"/>
      <c r="S10" s="249"/>
      <c r="T10" s="249"/>
      <c r="U10" s="249"/>
    </row>
    <row r="11" spans="1:21">
      <c r="A11" s="240" t="s">
        <v>42</v>
      </c>
      <c r="B11" t="s">
        <v>43</v>
      </c>
      <c r="C11" s="240"/>
      <c r="D11" s="246">
        <f>Salário_Normativo_da_Categoria_Profissional</f>
        <v>998</v>
      </c>
      <c r="F11" t="s">
        <v>44</v>
      </c>
      <c r="G11" s="245">
        <v>0.4337</v>
      </c>
      <c r="H11" s="249"/>
      <c r="I11" s="249"/>
      <c r="J11" s="249"/>
      <c r="K11" s="249"/>
      <c r="L11" s="249"/>
      <c r="M11" s="249"/>
      <c r="N11" s="249"/>
      <c r="O11" s="249"/>
      <c r="P11" s="249"/>
      <c r="Q11" s="249"/>
      <c r="R11" s="249"/>
      <c r="S11" s="249"/>
      <c r="T11" s="249"/>
      <c r="U11" s="249"/>
    </row>
    <row r="12" spans="1:21">
      <c r="A12" s="240" t="s">
        <v>45</v>
      </c>
      <c r="B12" t="s">
        <v>46</v>
      </c>
      <c r="C12" s="240"/>
      <c r="D12" s="246"/>
      <c r="F12" t="s">
        <v>47</v>
      </c>
      <c r="G12" s="245">
        <v>0.0218</v>
      </c>
      <c r="H12" s="249"/>
      <c r="I12" s="249"/>
      <c r="J12" s="249"/>
      <c r="K12" s="249"/>
      <c r="L12" s="249"/>
      <c r="M12" s="249"/>
      <c r="N12" s="249"/>
      <c r="O12" s="249"/>
      <c r="P12" s="249"/>
      <c r="Q12" s="249"/>
      <c r="R12" s="249"/>
      <c r="S12" s="249"/>
      <c r="T12" s="249"/>
      <c r="U12" s="249"/>
    </row>
    <row r="13" spans="1:21">
      <c r="A13" s="240" t="s">
        <v>48</v>
      </c>
      <c r="B13" t="s">
        <v>49</v>
      </c>
      <c r="C13" s="240"/>
      <c r="D13" s="246"/>
      <c r="H13" s="249"/>
      <c r="I13" s="249"/>
      <c r="J13" s="249"/>
      <c r="K13" s="249"/>
      <c r="L13" s="249"/>
      <c r="M13" s="249"/>
      <c r="N13" s="249"/>
      <c r="O13" s="249"/>
      <c r="P13" s="249"/>
      <c r="Q13" s="249"/>
      <c r="R13" s="249"/>
      <c r="S13" s="249"/>
      <c r="T13" s="249"/>
      <c r="U13" s="249"/>
    </row>
    <row r="14" spans="1:21">
      <c r="A14" s="240" t="s">
        <v>50</v>
      </c>
      <c r="B14" t="s">
        <v>51</v>
      </c>
      <c r="C14" s="240"/>
      <c r="D14" s="246"/>
      <c r="F14" s="239" t="s">
        <v>52</v>
      </c>
      <c r="G14" s="239"/>
      <c r="H14" s="249"/>
      <c r="I14" s="249"/>
      <c r="J14" s="249"/>
      <c r="K14" s="249"/>
      <c r="L14" s="249"/>
      <c r="M14" s="249"/>
      <c r="N14" s="249"/>
      <c r="O14" s="249"/>
      <c r="P14" s="249"/>
      <c r="Q14" s="249"/>
      <c r="R14" s="249"/>
      <c r="S14" s="249"/>
      <c r="T14" s="249"/>
      <c r="U14" s="249"/>
    </row>
    <row r="15" spans="1:21">
      <c r="A15" s="240" t="s">
        <v>53</v>
      </c>
      <c r="B15" t="s">
        <v>54</v>
      </c>
      <c r="C15" s="240"/>
      <c r="D15" s="246"/>
      <c r="F15" s="295" t="s">
        <v>17</v>
      </c>
      <c r="G15" s="295" t="s">
        <v>38</v>
      </c>
      <c r="H15" s="249"/>
      <c r="I15" s="249"/>
      <c r="J15" s="249"/>
      <c r="K15" s="249"/>
      <c r="L15" s="249"/>
      <c r="M15" s="249"/>
      <c r="N15" s="249"/>
      <c r="O15" s="249"/>
      <c r="P15" s="249"/>
      <c r="Q15" s="249"/>
      <c r="R15" s="249"/>
      <c r="S15" s="249"/>
      <c r="T15" s="249"/>
      <c r="U15" s="249"/>
    </row>
    <row r="16" spans="1:21">
      <c r="A16" s="240" t="s">
        <v>55</v>
      </c>
      <c r="B16" t="s">
        <v>56</v>
      </c>
      <c r="C16" s="240"/>
      <c r="D16" s="246"/>
      <c r="F16" s="249" t="s">
        <v>57</v>
      </c>
      <c r="G16" s="296">
        <v>0.0471</v>
      </c>
      <c r="H16" s="249"/>
      <c r="I16" s="249"/>
      <c r="J16" s="249"/>
      <c r="K16" s="249"/>
      <c r="L16" s="249"/>
      <c r="M16" s="249"/>
      <c r="N16" s="249"/>
      <c r="O16" s="249"/>
      <c r="P16" s="249"/>
      <c r="Q16" s="249"/>
      <c r="R16" s="249"/>
      <c r="S16" s="249"/>
      <c r="T16" s="249"/>
      <c r="U16" s="249"/>
    </row>
    <row r="17" spans="1:21">
      <c r="A17" s="240" t="s">
        <v>58</v>
      </c>
      <c r="C17" s="240"/>
      <c r="D17" s="246">
        <f>SUBTOTAL(109,Módulo1[Valor])</f>
        <v>998</v>
      </c>
      <c r="F17" s="249" t="s">
        <v>59</v>
      </c>
      <c r="G17" s="296">
        <v>0.0467</v>
      </c>
      <c r="H17" s="249"/>
      <c r="I17" s="249"/>
      <c r="J17" s="249"/>
      <c r="K17" s="249"/>
      <c r="L17" s="249"/>
      <c r="M17" s="249"/>
      <c r="N17" s="249"/>
      <c r="O17" s="249"/>
      <c r="P17" s="249"/>
      <c r="Q17" s="249"/>
      <c r="R17" s="249"/>
      <c r="S17" s="249"/>
      <c r="T17" s="249"/>
      <c r="U17" s="249"/>
    </row>
    <row r="18" spans="6:21">
      <c r="F18" s="249" t="s">
        <v>60</v>
      </c>
      <c r="G18" s="297">
        <v>0.0165</v>
      </c>
      <c r="H18" s="249"/>
      <c r="I18" s="249"/>
      <c r="J18" s="249"/>
      <c r="K18" s="249"/>
      <c r="L18" s="249"/>
      <c r="M18" s="249"/>
      <c r="N18" s="249"/>
      <c r="O18" s="249"/>
      <c r="P18" s="249"/>
      <c r="Q18" s="249"/>
      <c r="R18" s="249"/>
      <c r="S18" s="249"/>
      <c r="T18" s="249"/>
      <c r="U18" s="249"/>
    </row>
    <row r="19" spans="1:21">
      <c r="A19" s="247" t="s">
        <v>61</v>
      </c>
      <c r="B19" s="247"/>
      <c r="C19" s="247"/>
      <c r="D19" s="247"/>
      <c r="F19" s="249" t="s">
        <v>62</v>
      </c>
      <c r="G19" s="297">
        <v>0.076</v>
      </c>
      <c r="H19" s="249"/>
      <c r="I19" s="249"/>
      <c r="J19" s="249"/>
      <c r="K19" s="249"/>
      <c r="L19" s="249"/>
      <c r="M19" s="249"/>
      <c r="N19" s="249"/>
      <c r="O19" s="249"/>
      <c r="P19" s="249"/>
      <c r="Q19" s="249"/>
      <c r="R19" s="249"/>
      <c r="S19" s="249"/>
      <c r="T19" s="249"/>
      <c r="U19" s="249"/>
    </row>
    <row r="20" spans="1:21">
      <c r="A20" s="239" t="s">
        <v>63</v>
      </c>
      <c r="B20" s="239"/>
      <c r="C20" s="239"/>
      <c r="D20" s="239"/>
      <c r="F20" s="249" t="s">
        <v>64</v>
      </c>
      <c r="G20" s="297">
        <v>0.05</v>
      </c>
      <c r="H20" s="249"/>
      <c r="I20" s="249"/>
      <c r="J20" s="249"/>
      <c r="K20" s="249"/>
      <c r="L20" s="249"/>
      <c r="M20" s="249"/>
      <c r="N20" s="249"/>
      <c r="O20" s="249"/>
      <c r="P20" s="249"/>
      <c r="Q20" s="249"/>
      <c r="R20" s="249"/>
      <c r="S20" s="249"/>
      <c r="T20" s="249"/>
      <c r="U20" s="249"/>
    </row>
    <row r="21" spans="1:21">
      <c r="A21" s="240" t="s">
        <v>65</v>
      </c>
      <c r="B21" s="244" t="s">
        <v>66</v>
      </c>
      <c r="C21" s="240" t="s">
        <v>18</v>
      </c>
      <c r="D21" s="240" t="s">
        <v>19</v>
      </c>
      <c r="F21" s="249"/>
      <c r="G21" s="249"/>
      <c r="H21" s="249"/>
      <c r="I21" s="249"/>
      <c r="J21" s="249"/>
      <c r="K21" s="249"/>
      <c r="L21" s="249"/>
      <c r="M21" s="249"/>
      <c r="N21" s="249"/>
      <c r="O21" s="249"/>
      <c r="P21" s="249"/>
      <c r="Q21" s="249"/>
      <c r="R21" s="249"/>
      <c r="S21" s="249"/>
      <c r="T21" s="249"/>
      <c r="U21" s="249"/>
    </row>
    <row r="22" spans="1:21">
      <c r="A22" s="240" t="s">
        <v>42</v>
      </c>
      <c r="B22" t="s">
        <v>67</v>
      </c>
      <c r="D22" s="246">
        <f>Módulo1[[#Totals],[Valor]]/12</f>
        <v>83.1666666666667</v>
      </c>
      <c r="F22" s="249"/>
      <c r="G22" s="249"/>
      <c r="H22" s="249"/>
      <c r="I22" s="249"/>
      <c r="J22" s="249"/>
      <c r="K22" s="249"/>
      <c r="L22" s="249"/>
      <c r="M22" s="249"/>
      <c r="N22" s="249"/>
      <c r="O22" s="249"/>
      <c r="P22" s="249"/>
      <c r="Q22" s="249"/>
      <c r="R22" s="249"/>
      <c r="S22" s="249"/>
      <c r="T22" s="249"/>
      <c r="U22" s="249"/>
    </row>
    <row r="23" spans="1:21">
      <c r="A23" s="240" t="s">
        <v>45</v>
      </c>
      <c r="B23" t="s">
        <v>68</v>
      </c>
      <c r="D23" s="246">
        <f>(Módulo1[[#Totals],[Valor]]/12)*(1+(1/3))</f>
        <v>110.888888888889</v>
      </c>
      <c r="F23" s="249"/>
      <c r="G23" s="249"/>
      <c r="H23" s="249"/>
      <c r="I23" s="249"/>
      <c r="J23" s="249"/>
      <c r="K23" s="249"/>
      <c r="L23" s="249"/>
      <c r="M23" s="249"/>
      <c r="N23" s="249"/>
      <c r="O23" s="249"/>
      <c r="P23" s="249"/>
      <c r="Q23" s="249"/>
      <c r="R23" s="249"/>
      <c r="S23" s="249"/>
      <c r="T23" s="249"/>
      <c r="U23" s="249"/>
    </row>
    <row r="24" spans="1:21">
      <c r="A24" s="240" t="s">
        <v>58</v>
      </c>
      <c r="D24" s="246">
        <f>SUBTOTAL(109,Submódulo2.1[Valor])</f>
        <v>194.055555555556</v>
      </c>
      <c r="F24" s="249"/>
      <c r="G24" s="249"/>
      <c r="H24" s="249"/>
      <c r="I24" s="249"/>
      <c r="J24" s="249"/>
      <c r="K24" s="249"/>
      <c r="L24" s="249"/>
      <c r="M24" s="249"/>
      <c r="N24" s="249"/>
      <c r="O24" s="249"/>
      <c r="P24" s="249"/>
      <c r="Q24" s="249"/>
      <c r="R24" s="249"/>
      <c r="S24" s="249"/>
      <c r="T24" s="249"/>
      <c r="U24" s="249"/>
    </row>
    <row r="25" spans="1:21">
      <c r="A25" s="240"/>
      <c r="D25" s="246"/>
      <c r="F25" s="249"/>
      <c r="G25" s="249"/>
      <c r="H25" s="249"/>
      <c r="I25" s="249"/>
      <c r="J25" s="249"/>
      <c r="K25" s="249"/>
      <c r="L25" s="249"/>
      <c r="M25" s="249"/>
      <c r="N25" s="249"/>
      <c r="O25" s="249"/>
      <c r="P25" s="249"/>
      <c r="Q25" s="249"/>
      <c r="R25" s="249"/>
      <c r="S25" s="249"/>
      <c r="T25" s="249"/>
      <c r="U25" s="249"/>
    </row>
    <row r="26" spans="1:21">
      <c r="A26" s="298" t="s">
        <v>69</v>
      </c>
      <c r="B26" s="298"/>
      <c r="C26" s="298"/>
      <c r="D26" s="298"/>
      <c r="F26" s="249"/>
      <c r="G26" s="249"/>
      <c r="H26" s="249"/>
      <c r="I26" s="249"/>
      <c r="J26" s="249"/>
      <c r="K26" s="249"/>
      <c r="L26" s="249"/>
      <c r="M26" s="249"/>
      <c r="N26" s="249"/>
      <c r="O26" s="249"/>
      <c r="P26" s="249"/>
      <c r="Q26" s="249"/>
      <c r="R26" s="249"/>
      <c r="S26" s="249"/>
      <c r="T26" s="249"/>
      <c r="U26" s="249"/>
    </row>
    <row r="27" spans="1:21">
      <c r="A27" s="298" t="s">
        <v>16</v>
      </c>
      <c r="B27" s="298" t="s">
        <v>70</v>
      </c>
      <c r="C27" s="298" t="s">
        <v>71</v>
      </c>
      <c r="D27" s="299" t="s">
        <v>72</v>
      </c>
      <c r="F27" s="249"/>
      <c r="G27" s="249"/>
      <c r="H27" s="249"/>
      <c r="I27" s="249"/>
      <c r="J27" s="249"/>
      <c r="K27" s="249"/>
      <c r="L27" s="249"/>
      <c r="M27" s="249"/>
      <c r="N27" s="249"/>
      <c r="O27" s="249"/>
      <c r="P27" s="249"/>
      <c r="Q27" s="249"/>
      <c r="R27" s="249"/>
      <c r="S27" s="249"/>
      <c r="T27" s="249"/>
      <c r="U27" s="249"/>
    </row>
    <row r="28" ht="28.8" spans="1:21">
      <c r="A28" s="258" t="s">
        <v>42</v>
      </c>
      <c r="B28" s="300" t="s">
        <v>73</v>
      </c>
      <c r="C28" s="301" t="s">
        <v>74</v>
      </c>
      <c r="D28" s="300" t="s">
        <v>75</v>
      </c>
      <c r="F28" s="249"/>
      <c r="G28" s="249"/>
      <c r="H28" s="249"/>
      <c r="I28" s="249"/>
      <c r="J28" s="249"/>
      <c r="K28" s="249"/>
      <c r="L28" s="249"/>
      <c r="M28" s="249"/>
      <c r="N28" s="249"/>
      <c r="O28" s="249"/>
      <c r="P28" s="249"/>
      <c r="Q28" s="249"/>
      <c r="R28" s="249"/>
      <c r="S28" s="249"/>
      <c r="T28" s="249"/>
      <c r="U28" s="249"/>
    </row>
    <row r="29" ht="28.8" spans="1:21">
      <c r="A29" s="258" t="s">
        <v>45</v>
      </c>
      <c r="B29" s="302" t="s">
        <v>68</v>
      </c>
      <c r="C29" s="301" t="s">
        <v>74</v>
      </c>
      <c r="D29" s="300" t="s">
        <v>76</v>
      </c>
      <c r="F29" s="249"/>
      <c r="G29" s="249"/>
      <c r="H29" s="249"/>
      <c r="I29" s="249"/>
      <c r="J29" s="249"/>
      <c r="K29" s="249"/>
      <c r="L29" s="249"/>
      <c r="M29" s="249"/>
      <c r="N29" s="249"/>
      <c r="O29" s="249"/>
      <c r="P29" s="249"/>
      <c r="Q29" s="249"/>
      <c r="R29" s="249"/>
      <c r="S29" s="249"/>
      <c r="T29" s="249"/>
      <c r="U29" s="249"/>
    </row>
    <row r="30" spans="1:21">
      <c r="A30" s="240"/>
      <c r="B30" s="240"/>
      <c r="C30" s="269"/>
      <c r="F30" s="249"/>
      <c r="G30" s="249"/>
      <c r="H30" s="249"/>
      <c r="I30" s="249"/>
      <c r="J30" s="249"/>
      <c r="K30" s="249"/>
      <c r="L30" s="249"/>
      <c r="M30" s="249"/>
      <c r="N30" s="249"/>
      <c r="O30" s="249"/>
      <c r="P30" s="249"/>
      <c r="Q30" s="249"/>
      <c r="R30" s="249"/>
      <c r="S30" s="249"/>
      <c r="T30" s="249"/>
      <c r="U30" s="249"/>
    </row>
    <row r="31" spans="1:4">
      <c r="A31" s="239" t="s">
        <v>77</v>
      </c>
      <c r="B31" s="239"/>
      <c r="C31" s="239"/>
      <c r="D31" s="239"/>
    </row>
    <row r="32" spans="1:4">
      <c r="A32" s="240" t="s">
        <v>78</v>
      </c>
      <c r="B32" s="244" t="s">
        <v>79</v>
      </c>
      <c r="C32" s="240" t="s">
        <v>38</v>
      </c>
      <c r="D32" s="240" t="s">
        <v>80</v>
      </c>
    </row>
    <row r="33" spans="1:4">
      <c r="A33" s="240" t="s">
        <v>42</v>
      </c>
      <c r="B33" t="s">
        <v>81</v>
      </c>
      <c r="C33" s="248">
        <v>0.2</v>
      </c>
      <c r="D33" s="246">
        <f>C33*(Módulo1[[#Totals],[Valor]]+Submódulo2.1[[#Totals],[Valor]])</f>
        <v>238.411111111111</v>
      </c>
    </row>
    <row r="34" spans="1:4">
      <c r="A34" s="240" t="s">
        <v>45</v>
      </c>
      <c r="B34" t="s">
        <v>82</v>
      </c>
      <c r="C34" s="248">
        <v>0.025</v>
      </c>
      <c r="D34" s="246">
        <f>C34*(Módulo1[[#Totals],[Valor]]+Submódulo2.1[[#Totals],[Valor]])</f>
        <v>29.8013888888889</v>
      </c>
    </row>
    <row r="35" spans="1:4">
      <c r="A35" s="240" t="s">
        <v>48</v>
      </c>
      <c r="B35" t="s">
        <v>83</v>
      </c>
      <c r="C35" s="248">
        <f>Servente!G6</f>
        <v>0.03</v>
      </c>
      <c r="D35" s="246">
        <f>C35*(Módulo1[[#Totals],[Valor]]+Submódulo2.1[[#Totals],[Valor]])</f>
        <v>35.7616666666667</v>
      </c>
    </row>
    <row r="36" spans="1:4">
      <c r="A36" s="240" t="s">
        <v>50</v>
      </c>
      <c r="B36" t="s">
        <v>84</v>
      </c>
      <c r="C36" s="248">
        <v>0.015</v>
      </c>
      <c r="D36" s="246">
        <f>C36*(Módulo1[[#Totals],[Valor]]+Submódulo2.1[[#Totals],[Valor]])</f>
        <v>17.8808333333333</v>
      </c>
    </row>
    <row r="37" spans="1:4">
      <c r="A37" s="240" t="s">
        <v>53</v>
      </c>
      <c r="B37" t="s">
        <v>85</v>
      </c>
      <c r="C37" s="248">
        <v>0.01</v>
      </c>
      <c r="D37" s="246">
        <f>C37*(Módulo1[[#Totals],[Valor]]+Submódulo2.1[[#Totals],[Valor]])</f>
        <v>11.9205555555556</v>
      </c>
    </row>
    <row r="38" spans="1:4">
      <c r="A38" s="240" t="s">
        <v>55</v>
      </c>
      <c r="B38" t="s">
        <v>86</v>
      </c>
      <c r="C38" s="248">
        <v>0.006</v>
      </c>
      <c r="D38" s="246">
        <f>C38*(Módulo1[[#Totals],[Valor]]+Submódulo2.1[[#Totals],[Valor]])</f>
        <v>7.15233333333333</v>
      </c>
    </row>
    <row r="39" spans="1:4">
      <c r="A39" s="240" t="s">
        <v>87</v>
      </c>
      <c r="B39" t="s">
        <v>88</v>
      </c>
      <c r="C39" s="248">
        <v>0.002</v>
      </c>
      <c r="D39" s="246">
        <f>C39*(Módulo1[[#Totals],[Valor]]+Submódulo2.1[[#Totals],[Valor]])</f>
        <v>2.38411111111111</v>
      </c>
    </row>
    <row r="40" spans="1:4">
      <c r="A40" s="240" t="s">
        <v>89</v>
      </c>
      <c r="B40" t="s">
        <v>90</v>
      </c>
      <c r="C40" s="248">
        <v>0.08</v>
      </c>
      <c r="D40" s="246">
        <f>C40*(Módulo1[[#Totals],[Valor]]+Submódulo2.1[[#Totals],[Valor]])</f>
        <v>95.3644444444445</v>
      </c>
    </row>
    <row r="41" spans="1:4">
      <c r="A41" s="240" t="s">
        <v>58</v>
      </c>
      <c r="C41" s="255">
        <f>SUBTOTAL(109,Submódulo2.2[Percentual])</f>
        <v>0.368</v>
      </c>
      <c r="D41" s="246">
        <f>SUBTOTAL(109,Submódulo2.2[Valor ])</f>
        <v>438.676444444444</v>
      </c>
    </row>
    <row r="42" spans="1:4">
      <c r="A42" s="240"/>
      <c r="C42" s="255"/>
      <c r="D42" s="246"/>
    </row>
    <row r="43" spans="1:4">
      <c r="A43" s="298" t="s">
        <v>91</v>
      </c>
      <c r="B43" s="298"/>
      <c r="C43" s="298"/>
      <c r="D43" s="298"/>
    </row>
    <row r="44" spans="1:4">
      <c r="A44" s="298" t="s">
        <v>16</v>
      </c>
      <c r="B44" s="298" t="s">
        <v>70</v>
      </c>
      <c r="C44" s="298" t="s">
        <v>71</v>
      </c>
      <c r="D44" s="299" t="s">
        <v>72</v>
      </c>
    </row>
    <row r="45" spans="1:4">
      <c r="A45" s="258" t="s">
        <v>92</v>
      </c>
      <c r="B45" s="300" t="s">
        <v>79</v>
      </c>
      <c r="C45" s="300" t="s">
        <v>93</v>
      </c>
      <c r="D45" s="300" t="s">
        <v>94</v>
      </c>
    </row>
    <row r="47" spans="1:4">
      <c r="A47" s="239" t="s">
        <v>95</v>
      </c>
      <c r="B47" s="239"/>
      <c r="C47" s="239"/>
      <c r="D47" s="239"/>
    </row>
    <row r="48" spans="1:4">
      <c r="A48" s="240" t="s">
        <v>96</v>
      </c>
      <c r="B48" s="244" t="s">
        <v>97</v>
      </c>
      <c r="C48" s="240" t="s">
        <v>18</v>
      </c>
      <c r="D48" s="240" t="s">
        <v>19</v>
      </c>
    </row>
    <row r="49" spans="1:4">
      <c r="A49" s="240" t="s">
        <v>42</v>
      </c>
      <c r="B49" t="s">
        <v>98</v>
      </c>
      <c r="D49" s="246">
        <f>IF(G3=0,0,(Servente!G3*2*Servente!G5)-(6%*_1A))</f>
        <v>0</v>
      </c>
    </row>
    <row r="50" spans="1:4">
      <c r="A50" s="240" t="s">
        <v>45</v>
      </c>
      <c r="B50" t="s">
        <v>99</v>
      </c>
      <c r="D50" s="246">
        <f>(Servente!G4*Servente!G5)*80%</f>
        <v>211.2</v>
      </c>
    </row>
    <row r="51" spans="1:4">
      <c r="A51" s="240" t="s">
        <v>48</v>
      </c>
      <c r="B51" t="s">
        <v>100</v>
      </c>
      <c r="D51" s="246"/>
    </row>
    <row r="52" spans="1:4">
      <c r="A52" s="240" t="s">
        <v>50</v>
      </c>
      <c r="B52" t="s">
        <v>56</v>
      </c>
      <c r="D52" s="246"/>
    </row>
    <row r="53" spans="1:4">
      <c r="A53" s="240" t="s">
        <v>58</v>
      </c>
      <c r="D53" s="246">
        <v>211.2</v>
      </c>
    </row>
    <row r="54" spans="1:4">
      <c r="A54" s="240"/>
      <c r="D54" s="246"/>
    </row>
    <row r="55" spans="1:4">
      <c r="A55" s="298" t="s">
        <v>101</v>
      </c>
      <c r="B55" s="298"/>
      <c r="C55" s="298"/>
      <c r="D55" s="298"/>
    </row>
    <row r="56" spans="1:4">
      <c r="A56" s="298" t="s">
        <v>16</v>
      </c>
      <c r="B56" s="298" t="s">
        <v>70</v>
      </c>
      <c r="C56" s="298" t="s">
        <v>71</v>
      </c>
      <c r="D56" s="298" t="s">
        <v>72</v>
      </c>
    </row>
    <row r="57" ht="43.2" spans="1:4">
      <c r="A57" s="258" t="s">
        <v>42</v>
      </c>
      <c r="B57" s="300" t="s">
        <v>98</v>
      </c>
      <c r="C57" s="301" t="s">
        <v>102</v>
      </c>
      <c r="D57" s="301" t="s">
        <v>103</v>
      </c>
    </row>
    <row r="58" ht="28.8" spans="1:4">
      <c r="A58" s="258" t="s">
        <v>45</v>
      </c>
      <c r="B58" s="302" t="s">
        <v>99</v>
      </c>
      <c r="C58" s="301" t="s">
        <v>102</v>
      </c>
      <c r="D58" s="301" t="s">
        <v>104</v>
      </c>
    </row>
    <row r="59" ht="19.5" customHeight="1" spans="1:4">
      <c r="A59" s="240"/>
      <c r="D59" s="246"/>
    </row>
    <row r="60" spans="1:4">
      <c r="A60" s="239" t="s">
        <v>105</v>
      </c>
      <c r="B60" s="239"/>
      <c r="C60" s="239"/>
      <c r="D60" s="239"/>
    </row>
    <row r="61" spans="1:4">
      <c r="A61" s="240" t="s">
        <v>106</v>
      </c>
      <c r="B61" s="244" t="s">
        <v>107</v>
      </c>
      <c r="C61" s="240" t="s">
        <v>18</v>
      </c>
      <c r="D61" s="240" t="s">
        <v>19</v>
      </c>
    </row>
    <row r="62" spans="1:4">
      <c r="A62" s="240" t="s">
        <v>65</v>
      </c>
      <c r="B62" t="s">
        <v>66</v>
      </c>
      <c r="C62" s="240"/>
      <c r="D62" s="246">
        <f>Submódulo2.1[[#Totals],[Valor]]</f>
        <v>194.055555555556</v>
      </c>
    </row>
    <row r="63" spans="1:4">
      <c r="A63" s="240" t="s">
        <v>78</v>
      </c>
      <c r="B63" t="s">
        <v>79</v>
      </c>
      <c r="C63" s="240"/>
      <c r="D63" s="246">
        <f>Submódulo2.2[[#Totals],[Valor ]]</f>
        <v>438.676444444444</v>
      </c>
    </row>
    <row r="64" spans="1:4">
      <c r="A64" s="240" t="s">
        <v>96</v>
      </c>
      <c r="B64" t="s">
        <v>97</v>
      </c>
      <c r="C64" s="240"/>
      <c r="D64" s="246">
        <f>Submódulo2.3[[#Totals],[Valor]]</f>
        <v>211.2</v>
      </c>
    </row>
    <row r="65" spans="1:4">
      <c r="A65" s="240" t="s">
        <v>58</v>
      </c>
      <c r="C65" s="240"/>
      <c r="D65" s="246">
        <v>843.932</v>
      </c>
    </row>
    <row r="67" spans="1:4">
      <c r="A67" s="223" t="s">
        <v>108</v>
      </c>
      <c r="B67" s="223"/>
      <c r="C67" s="223"/>
      <c r="D67" s="223"/>
    </row>
    <row r="68" spans="1:4">
      <c r="A68" s="240" t="s">
        <v>109</v>
      </c>
      <c r="B68" s="244" t="s">
        <v>110</v>
      </c>
      <c r="C68" s="240" t="s">
        <v>18</v>
      </c>
      <c r="D68" s="240" t="s">
        <v>19</v>
      </c>
    </row>
    <row r="69" spans="1:4">
      <c r="A69" s="240" t="s">
        <v>42</v>
      </c>
      <c r="B69" t="s">
        <v>111</v>
      </c>
      <c r="D69" s="246">
        <f>((Módulo1[[#Totals],[Valor]]+D62+D64)/12)*Servente!G10</f>
        <v>50.715994537037</v>
      </c>
    </row>
    <row r="70" spans="1:4">
      <c r="A70" s="240" t="s">
        <v>45</v>
      </c>
      <c r="B70" t="s">
        <v>112</v>
      </c>
      <c r="D70" s="246">
        <f>(D40/12)*Servente!G10</f>
        <v>3.44662996296296</v>
      </c>
    </row>
    <row r="71" spans="1:4">
      <c r="A71" s="240" t="s">
        <v>48</v>
      </c>
      <c r="B71" t="s">
        <v>113</v>
      </c>
      <c r="D71" s="246">
        <f>D40*50%*Servente!G10</f>
        <v>20.6797797777778</v>
      </c>
    </row>
    <row r="72" spans="1:4">
      <c r="A72" s="240" t="s">
        <v>50</v>
      </c>
      <c r="B72" t="s">
        <v>114</v>
      </c>
      <c r="D72" s="246">
        <f>((Módulo1[[#Totals],[Valor]]+ResumoMódulo2[[#Totals],[Valor]])/12)*Servente!G11</f>
        <v>66.5704923666667</v>
      </c>
    </row>
    <row r="73" spans="1:4">
      <c r="A73" s="240" t="s">
        <v>53</v>
      </c>
      <c r="B73" t="s">
        <v>115</v>
      </c>
      <c r="D73" s="246">
        <f>D40*50%*Servente!G11</f>
        <v>20.6797797777778</v>
      </c>
    </row>
    <row r="74" spans="1:4">
      <c r="A74" s="240" t="s">
        <v>55</v>
      </c>
      <c r="B74" t="s">
        <v>116</v>
      </c>
      <c r="D74" s="246">
        <f>-D62*Servente!G12</f>
        <v>-4.23041111111111</v>
      </c>
    </row>
    <row r="75" spans="1:4">
      <c r="A75" s="240" t="s">
        <v>58</v>
      </c>
      <c r="D75" s="246">
        <f>SUBTOTAL(109,Módulo3[Valor])</f>
        <v>157.862265311111</v>
      </c>
    </row>
    <row r="76" spans="1:4">
      <c r="A76" s="240"/>
      <c r="D76" s="246"/>
    </row>
    <row r="77" spans="1:4">
      <c r="A77" s="298" t="s">
        <v>117</v>
      </c>
      <c r="B77" s="298"/>
      <c r="C77" s="298"/>
      <c r="D77" s="298"/>
    </row>
    <row r="78" spans="1:4">
      <c r="A78" s="298" t="s">
        <v>16</v>
      </c>
      <c r="B78" s="298" t="s">
        <v>70</v>
      </c>
      <c r="C78" s="298" t="s">
        <v>71</v>
      </c>
      <c r="D78" s="298" t="s">
        <v>72</v>
      </c>
    </row>
    <row r="79" ht="57.6" spans="1:4">
      <c r="A79" s="258" t="s">
        <v>42</v>
      </c>
      <c r="B79" s="300" t="s">
        <v>111</v>
      </c>
      <c r="C79" s="301" t="s">
        <v>118</v>
      </c>
      <c r="D79" s="301" t="s">
        <v>119</v>
      </c>
    </row>
    <row r="80" ht="57.6" spans="1:4">
      <c r="A80" s="258" t="s">
        <v>45</v>
      </c>
      <c r="B80" s="302" t="s">
        <v>112</v>
      </c>
      <c r="C80" s="301" t="s">
        <v>120</v>
      </c>
      <c r="D80" s="301" t="s">
        <v>119</v>
      </c>
    </row>
    <row r="81" ht="72" spans="1:4">
      <c r="A81" s="258" t="s">
        <v>48</v>
      </c>
      <c r="B81" s="302" t="s">
        <v>113</v>
      </c>
      <c r="C81" s="301" t="s">
        <v>120</v>
      </c>
      <c r="D81" s="303" t="s">
        <v>121</v>
      </c>
    </row>
    <row r="82" ht="57.6" spans="1:4">
      <c r="A82" s="258" t="s">
        <v>50</v>
      </c>
      <c r="B82" s="259" t="s">
        <v>114</v>
      </c>
      <c r="C82" s="301" t="s">
        <v>122</v>
      </c>
      <c r="D82" s="303" t="s">
        <v>123</v>
      </c>
    </row>
    <row r="83" ht="72" spans="1:4">
      <c r="A83" s="258" t="s">
        <v>53</v>
      </c>
      <c r="B83" s="259" t="s">
        <v>115</v>
      </c>
      <c r="C83" s="301" t="s">
        <v>120</v>
      </c>
      <c r="D83" s="303" t="s">
        <v>124</v>
      </c>
    </row>
    <row r="84" ht="57.6" spans="1:4">
      <c r="A84" s="258" t="s">
        <v>55</v>
      </c>
      <c r="B84" s="259" t="s">
        <v>116</v>
      </c>
      <c r="C84" s="301" t="s">
        <v>125</v>
      </c>
      <c r="D84" s="303" t="s">
        <v>126</v>
      </c>
    </row>
    <row r="86" ht="15" customHeight="1" spans="1:4">
      <c r="A86" s="267" t="s">
        <v>127</v>
      </c>
      <c r="B86" s="267"/>
      <c r="C86" s="267"/>
      <c r="D86" s="267"/>
    </row>
    <row r="87" spans="1:4">
      <c r="A87" s="239" t="s">
        <v>128</v>
      </c>
      <c r="B87" s="239"/>
      <c r="C87" s="239"/>
      <c r="D87" s="239"/>
    </row>
    <row r="88" spans="1:4">
      <c r="A88" s="240" t="s">
        <v>129</v>
      </c>
      <c r="B88" s="244" t="s">
        <v>130</v>
      </c>
      <c r="C88" s="240" t="s">
        <v>131</v>
      </c>
      <c r="D88" s="240" t="s">
        <v>19</v>
      </c>
    </row>
    <row r="89" spans="1:4">
      <c r="A89" s="240" t="s">
        <v>42</v>
      </c>
      <c r="B89" t="s">
        <v>132</v>
      </c>
      <c r="C89" s="240">
        <v>20.71</v>
      </c>
      <c r="D89" s="246">
        <f>(((Módulo1[[#Totals],[Valor]]+ResumoMódulo2[[#Totals],[Valor]]+Módulo3[[#Totals],[Valor]])/30)*C89)/12</f>
        <v>115.043720096092</v>
      </c>
    </row>
    <row r="90" spans="1:4">
      <c r="A90" s="240" t="s">
        <v>45</v>
      </c>
      <c r="B90" t="s">
        <v>133</v>
      </c>
      <c r="C90" s="240">
        <v>1.4181</v>
      </c>
      <c r="D90" s="246">
        <f>(((Módulo1[[#Totals],[Valor]]+ResumoMódulo2[[#Totals],[Valor]]+Módulo3[[#Totals],[Valor]])/30)*C90)/12</f>
        <v>7.87752291010468</v>
      </c>
    </row>
    <row r="91" spans="1:4">
      <c r="A91" s="240" t="s">
        <v>48</v>
      </c>
      <c r="B91" t="s">
        <v>134</v>
      </c>
      <c r="C91" s="240">
        <v>0.1898</v>
      </c>
      <c r="D91" s="246">
        <f>(((Módulo1[[#Totals],[Valor]]+ResumoMódulo2[[#Totals],[Valor]]+Módulo3[[#Totals],[Valor]])/30)*C91)/12</f>
        <v>1.05433597654458</v>
      </c>
    </row>
    <row r="92" spans="1:4">
      <c r="A92" s="240" t="s">
        <v>50</v>
      </c>
      <c r="B92" t="s">
        <v>135</v>
      </c>
      <c r="C92" s="240">
        <v>0.9545</v>
      </c>
      <c r="D92" s="246">
        <f>(((Módulo1[[#Totals],[Valor]]+ResumoMódulo2[[#Totals],[Valor]]+Módulo3[[#Totals],[Valor]])/30)*C92)/12</f>
        <v>5.3022322951096</v>
      </c>
    </row>
    <row r="93" spans="1:4">
      <c r="A93" s="240" t="s">
        <v>53</v>
      </c>
      <c r="B93" t="s">
        <v>136</v>
      </c>
      <c r="C93" s="240">
        <v>2.4723</v>
      </c>
      <c r="D93" s="246">
        <f>(((Módulo1[[#Totals],[Valor]]+ResumoMódulo2[[#Totals],[Valor]]+Módulo3[[#Totals],[Valor]])/30)*C93)/12</f>
        <v>13.7335871170241</v>
      </c>
    </row>
    <row r="94" spans="1:4">
      <c r="A94" s="240" t="s">
        <v>55</v>
      </c>
      <c r="B94" t="s">
        <v>137</v>
      </c>
      <c r="C94" s="240">
        <v>3.4521</v>
      </c>
      <c r="D94" s="246">
        <f>(((Módulo1[[#Totals],[Valor]]+ResumoMódulo2[[#Totals],[Valor]]+Módulo3[[#Totals],[Valor]])/30)*C94)/12</f>
        <v>19.1763605091125</v>
      </c>
    </row>
    <row r="95" spans="1:4">
      <c r="A95" s="240" t="s">
        <v>58</v>
      </c>
      <c r="C95" s="240">
        <f>SUBTOTAL(109,Submódulo4.1[Dias de ausência])</f>
        <v>29.1968</v>
      </c>
      <c r="D95" s="246">
        <f>SUBTOTAL(109,Submódulo4.1[Valor])</f>
        <v>162.187758903987</v>
      </c>
    </row>
    <row r="96" spans="1:4">
      <c r="A96" s="240"/>
      <c r="C96" s="240"/>
      <c r="D96" s="246"/>
    </row>
    <row r="97" spans="1:4">
      <c r="A97" s="298" t="s">
        <v>138</v>
      </c>
      <c r="B97" s="298"/>
      <c r="C97" s="298"/>
      <c r="D97" s="298"/>
    </row>
    <row r="98" spans="1:4">
      <c r="A98" s="298" t="s">
        <v>16</v>
      </c>
      <c r="B98" s="298" t="s">
        <v>70</v>
      </c>
      <c r="C98" s="298" t="s">
        <v>71</v>
      </c>
      <c r="D98" s="298" t="s">
        <v>72</v>
      </c>
    </row>
    <row r="99" spans="1:4">
      <c r="A99" s="258" t="s">
        <v>139</v>
      </c>
      <c r="B99" s="300" t="s">
        <v>140</v>
      </c>
      <c r="C99" s="301"/>
      <c r="D99" s="301"/>
    </row>
    <row r="100" ht="43.2" spans="1:4">
      <c r="A100" s="258" t="s">
        <v>139</v>
      </c>
      <c r="B100" s="302" t="s">
        <v>141</v>
      </c>
      <c r="C100" s="301" t="s">
        <v>142</v>
      </c>
      <c r="D100" s="301" t="s">
        <v>143</v>
      </c>
    </row>
    <row r="101" spans="1:4">
      <c r="A101" s="240"/>
      <c r="C101" s="240"/>
      <c r="D101" s="246"/>
    </row>
    <row r="102" spans="1:4">
      <c r="A102" s="239" t="s">
        <v>144</v>
      </c>
      <c r="B102" s="239"/>
      <c r="C102" s="239"/>
      <c r="D102" s="239"/>
    </row>
    <row r="103" spans="1:4">
      <c r="A103" s="240" t="s">
        <v>145</v>
      </c>
      <c r="B103" s="244" t="s">
        <v>146</v>
      </c>
      <c r="C103" s="240" t="s">
        <v>18</v>
      </c>
      <c r="D103" s="240" t="s">
        <v>19</v>
      </c>
    </row>
    <row r="104" spans="1:4">
      <c r="A104" s="240" t="s">
        <v>42</v>
      </c>
      <c r="B104" t="s">
        <v>147</v>
      </c>
      <c r="C104" s="240"/>
      <c r="D104" s="246"/>
    </row>
    <row r="105" spans="1:4">
      <c r="A105" s="240" t="s">
        <v>58</v>
      </c>
      <c r="C105" s="240"/>
      <c r="D105" s="246">
        <f>SUBTOTAL(109,Submódulo4.2[Valor])</f>
        <v>0</v>
      </c>
    </row>
    <row r="107" spans="1:4">
      <c r="A107" s="239" t="s">
        <v>148</v>
      </c>
      <c r="B107" s="239"/>
      <c r="C107" s="239"/>
      <c r="D107" s="239"/>
    </row>
    <row r="108" spans="1:4">
      <c r="A108" s="240" t="s">
        <v>149</v>
      </c>
      <c r="B108" s="244" t="s">
        <v>150</v>
      </c>
      <c r="C108" s="240" t="s">
        <v>18</v>
      </c>
      <c r="D108" s="240" t="s">
        <v>19</v>
      </c>
    </row>
    <row r="109" spans="1:4">
      <c r="A109" s="240" t="s">
        <v>129</v>
      </c>
      <c r="B109" t="s">
        <v>130</v>
      </c>
      <c r="D109" s="246">
        <f>Submódulo4.1[[#Totals],[Valor]]</f>
        <v>162.187758903987</v>
      </c>
    </row>
    <row r="110" spans="1:4">
      <c r="A110" s="240" t="s">
        <v>145</v>
      </c>
      <c r="B110" t="s">
        <v>151</v>
      </c>
      <c r="D110" s="246">
        <f>Submódulo4.2[[#Totals],[Valor]]</f>
        <v>0</v>
      </c>
    </row>
    <row r="111" spans="1:4">
      <c r="A111" s="240" t="s">
        <v>58</v>
      </c>
      <c r="D111" s="246">
        <f>SUBTOTAL(109,ResumoMódulo4[Valor])</f>
        <v>162.187758903987</v>
      </c>
    </row>
    <row r="113" spans="1:4">
      <c r="A113" s="223" t="s">
        <v>152</v>
      </c>
      <c r="B113" s="223"/>
      <c r="C113" s="223"/>
      <c r="D113" s="223"/>
    </row>
    <row r="114" spans="1:4">
      <c r="A114" s="240" t="s">
        <v>153</v>
      </c>
      <c r="B114" s="244" t="s">
        <v>154</v>
      </c>
      <c r="C114" s="240" t="s">
        <v>18</v>
      </c>
      <c r="D114" s="240" t="s">
        <v>19</v>
      </c>
    </row>
    <row r="115" spans="1:4">
      <c r="A115" s="240" t="s">
        <v>42</v>
      </c>
      <c r="B115" t="s">
        <v>155</v>
      </c>
      <c r="D115" s="246" t="e">
        <f>#REF!</f>
        <v>#REF!</v>
      </c>
    </row>
    <row r="116" spans="1:4">
      <c r="A116" s="240" t="s">
        <v>45</v>
      </c>
      <c r="B116" t="s">
        <v>156</v>
      </c>
      <c r="D116" s="246" t="e">
        <f>#REF!/#REF!</f>
        <v>#REF!</v>
      </c>
    </row>
    <row r="117" spans="1:4">
      <c r="A117" s="240" t="s">
        <v>48</v>
      </c>
      <c r="B117" t="s">
        <v>157</v>
      </c>
      <c r="D117" s="246" t="e">
        <f>#REF!/#REF!</f>
        <v>#REF!</v>
      </c>
    </row>
    <row r="118" spans="1:4">
      <c r="A118" s="240" t="s">
        <v>50</v>
      </c>
      <c r="B118" t="s">
        <v>158</v>
      </c>
      <c r="D118" s="246"/>
    </row>
    <row r="119" spans="1:4">
      <c r="A119" s="240" t="s">
        <v>58</v>
      </c>
      <c r="D119" s="246" t="e">
        <f>SUBTOTAL(109,Módulo5[Valor])</f>
        <v>#REF!</v>
      </c>
    </row>
    <row r="120" spans="1:4">
      <c r="A120" s="240"/>
      <c r="D120" s="246"/>
    </row>
    <row r="121" spans="1:4">
      <c r="A121" s="298" t="s">
        <v>159</v>
      </c>
      <c r="B121" s="298"/>
      <c r="C121" s="298"/>
      <c r="D121" s="298"/>
    </row>
    <row r="122" spans="1:4">
      <c r="A122" s="298" t="s">
        <v>16</v>
      </c>
      <c r="B122" s="298" t="s">
        <v>70</v>
      </c>
      <c r="C122" s="298" t="s">
        <v>71</v>
      </c>
      <c r="D122" s="298" t="s">
        <v>72</v>
      </c>
    </row>
    <row r="123" spans="1:4">
      <c r="A123" s="258" t="s">
        <v>42</v>
      </c>
      <c r="B123" s="300" t="s">
        <v>155</v>
      </c>
      <c r="C123" s="301" t="s">
        <v>160</v>
      </c>
      <c r="D123" s="301"/>
    </row>
    <row r="124" ht="28.8" spans="1:4">
      <c r="A124" s="258" t="s">
        <v>45</v>
      </c>
      <c r="B124" s="302" t="s">
        <v>156</v>
      </c>
      <c r="C124" s="301" t="s">
        <v>161</v>
      </c>
      <c r="D124" s="301" t="s">
        <v>162</v>
      </c>
    </row>
    <row r="125" ht="28.8" spans="1:4">
      <c r="A125" s="258" t="s">
        <v>48</v>
      </c>
      <c r="B125" s="302" t="s">
        <v>157</v>
      </c>
      <c r="C125" s="301" t="s">
        <v>163</v>
      </c>
      <c r="D125" s="301" t="s">
        <v>162</v>
      </c>
    </row>
    <row r="126" spans="1:4">
      <c r="A126" s="258" t="s">
        <v>50</v>
      </c>
      <c r="B126" s="302" t="s">
        <v>158</v>
      </c>
      <c r="C126" s="301"/>
      <c r="D126" s="301"/>
    </row>
    <row r="128" spans="1:4">
      <c r="A128" s="223" t="s">
        <v>164</v>
      </c>
      <c r="B128" s="223"/>
      <c r="C128" s="223"/>
      <c r="D128" s="223"/>
    </row>
    <row r="129" outlineLevel="1" spans="1:4">
      <c r="A129" s="240" t="s">
        <v>165</v>
      </c>
      <c r="B129" t="s">
        <v>166</v>
      </c>
      <c r="C129" s="240" t="s">
        <v>38</v>
      </c>
      <c r="D129" s="240" t="s">
        <v>19</v>
      </c>
    </row>
    <row r="130" outlineLevel="1" spans="1:4">
      <c r="A130" s="240" t="s">
        <v>42</v>
      </c>
      <c r="B130" t="s">
        <v>167</v>
      </c>
      <c r="C130" s="248">
        <f>G16</f>
        <v>0.0471</v>
      </c>
      <c r="D130" s="246" t="e">
        <f>Módulo6[[#This Row],[Percentual]]*(D141+D142+D143+D144+D145)</f>
        <v>#REF!</v>
      </c>
    </row>
    <row r="131" outlineLevel="1" spans="1:4">
      <c r="A131" s="240" t="s">
        <v>45</v>
      </c>
      <c r="B131" t="s">
        <v>59</v>
      </c>
      <c r="C131" s="248">
        <f>G17</f>
        <v>0.0467</v>
      </c>
      <c r="D131" s="246" t="e">
        <f>(SUM(D141:D145)+D130)*Módulo6[[#This Row],[Percentual]]</f>
        <v>#REF!</v>
      </c>
    </row>
    <row r="132" spans="1:4">
      <c r="A132" s="240" t="s">
        <v>48</v>
      </c>
      <c r="B132" t="s">
        <v>168</v>
      </c>
      <c r="C132" s="248">
        <f>SUM(C133:C135)</f>
        <v>0.1425</v>
      </c>
      <c r="D132" s="246" t="e">
        <f>Módulo6[[#This Row],[Percentual]]*D148</f>
        <v>#REF!</v>
      </c>
    </row>
    <row r="133" spans="1:4">
      <c r="A133" s="240" t="s">
        <v>169</v>
      </c>
      <c r="B133" t="s">
        <v>60</v>
      </c>
      <c r="C133" s="248">
        <f>G18</f>
        <v>0.0165</v>
      </c>
      <c r="D133" s="246" t="e">
        <f>Módulo6[[#This Row],[Percentual]]*D148</f>
        <v>#REF!</v>
      </c>
    </row>
    <row r="134" spans="1:4">
      <c r="A134" s="240" t="s">
        <v>170</v>
      </c>
      <c r="B134" t="s">
        <v>62</v>
      </c>
      <c r="C134" s="248">
        <f>G19</f>
        <v>0.076</v>
      </c>
      <c r="D134" s="246" t="e">
        <f>Módulo6[[#This Row],[Percentual]]*D148</f>
        <v>#REF!</v>
      </c>
    </row>
    <row r="135" spans="1:4">
      <c r="A135" s="240" t="s">
        <v>171</v>
      </c>
      <c r="B135" t="s">
        <v>64</v>
      </c>
      <c r="C135" s="248">
        <f>G20</f>
        <v>0.05</v>
      </c>
      <c r="D135" s="246" t="e">
        <f>Módulo6[[#This Row],[Percentual]]*D148</f>
        <v>#REF!</v>
      </c>
    </row>
    <row r="136" spans="1:4">
      <c r="A136" s="240" t="s">
        <v>58</v>
      </c>
      <c r="C136" s="279"/>
      <c r="D136" s="246" t="e">
        <f>SUM(D130:D132)</f>
        <v>#REF!</v>
      </c>
    </row>
    <row r="137" spans="1:4">
      <c r="A137" s="240"/>
      <c r="C137" s="279"/>
      <c r="D137" s="246"/>
    </row>
    <row r="139" spans="1:4">
      <c r="A139" s="223" t="s">
        <v>172</v>
      </c>
      <c r="B139" s="223"/>
      <c r="C139" s="223"/>
      <c r="D139" s="223"/>
    </row>
    <row r="140" spans="1:4">
      <c r="A140" s="240" t="s">
        <v>16</v>
      </c>
      <c r="B140" s="240" t="s">
        <v>173</v>
      </c>
      <c r="C140" s="240" t="s">
        <v>102</v>
      </c>
      <c r="D140" s="240" t="s">
        <v>19</v>
      </c>
    </row>
    <row r="141" spans="1:4">
      <c r="A141" s="240" t="s">
        <v>42</v>
      </c>
      <c r="B141" t="s">
        <v>36</v>
      </c>
      <c r="D141" s="246">
        <f>Módulo1[[#Totals],[Valor]]</f>
        <v>998</v>
      </c>
    </row>
    <row r="142" spans="1:4">
      <c r="A142" s="240" t="s">
        <v>45</v>
      </c>
      <c r="B142" t="s">
        <v>61</v>
      </c>
      <c r="D142" s="246">
        <f>ResumoMódulo2[[#Totals],[Valor]]</f>
        <v>843.932</v>
      </c>
    </row>
    <row r="143" spans="1:4">
      <c r="A143" s="240" t="s">
        <v>48</v>
      </c>
      <c r="B143" t="s">
        <v>108</v>
      </c>
      <c r="D143" s="246">
        <f>Módulo3[[#Totals],[Valor]]</f>
        <v>157.862265311111</v>
      </c>
    </row>
    <row r="144" spans="1:4">
      <c r="A144" s="240" t="s">
        <v>50</v>
      </c>
      <c r="B144" t="s">
        <v>174</v>
      </c>
      <c r="D144" s="246">
        <f>ResumoMódulo4[[#Totals],[Valor]]</f>
        <v>162.187758903987</v>
      </c>
    </row>
    <row r="145" spans="1:4">
      <c r="A145" s="240" t="s">
        <v>53</v>
      </c>
      <c r="B145" t="s">
        <v>152</v>
      </c>
      <c r="D145" s="246" t="e">
        <f>Módulo5[[#Totals],[Valor]]</f>
        <v>#REF!</v>
      </c>
    </row>
    <row r="146" spans="1:4">
      <c r="A146" t="s">
        <v>175</v>
      </c>
      <c r="D146" s="246" t="e">
        <f>SUM(D141:D145)</f>
        <v>#REF!</v>
      </c>
    </row>
    <row r="147" spans="1:4">
      <c r="A147" s="240" t="s">
        <v>55</v>
      </c>
      <c r="B147" t="s">
        <v>164</v>
      </c>
      <c r="D147" s="246" t="e">
        <f>Módulo6[[#Totals],[Valor]]</f>
        <v>#REF!</v>
      </c>
    </row>
    <row r="148" spans="1:4">
      <c r="A148" s="281" t="s">
        <v>176</v>
      </c>
      <c r="B148" s="281"/>
      <c r="C148" s="281"/>
      <c r="D148" s="304"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zoomScale="90" zoomScaleNormal="90" topLeftCell="A126" workbookViewId="0">
      <selection activeCell="A2" sqref="A2:D147"/>
    </sheetView>
  </sheetViews>
  <sheetFormatPr defaultColWidth="9.13888888888889" defaultRowHeight="14.4" outlineLevelCol="6"/>
  <cols>
    <col min="1" max="1" width="11.2314814814815" customWidth="1"/>
    <col min="2" max="2" width="54.4351851851852" customWidth="1"/>
    <col min="3" max="3" width="27.3981481481481" customWidth="1"/>
    <col min="4" max="4" width="35.6759259259259" customWidth="1"/>
    <col min="6" max="6" width="22.8611111111111" customWidth="1"/>
    <col min="7" max="7" width="15.5555555555556" customWidth="1"/>
    <col min="9" max="9" width="11.4259259259259"/>
  </cols>
  <sheetData>
    <row r="2" ht="18.75" spans="1:4">
      <c r="A2" s="216" t="s">
        <v>177</v>
      </c>
      <c r="B2" s="216"/>
      <c r="C2" s="216"/>
      <c r="D2" s="216"/>
    </row>
    <row r="3" ht="15.15" spans="1:4">
      <c r="A3" s="217" t="s">
        <v>178</v>
      </c>
      <c r="B3" s="217"/>
      <c r="C3" s="217"/>
      <c r="D3" s="217"/>
    </row>
    <row r="4" spans="1:4">
      <c r="A4" s="218" t="s">
        <v>179</v>
      </c>
      <c r="B4" s="219" t="s">
        <v>180</v>
      </c>
      <c r="C4" s="220"/>
      <c r="D4" s="220"/>
    </row>
    <row r="5" spans="1:4">
      <c r="A5" s="221"/>
      <c r="B5" s="222"/>
      <c r="C5" s="222"/>
      <c r="D5" s="222"/>
    </row>
    <row r="6" ht="15.15" spans="1:4">
      <c r="A6" s="223" t="s">
        <v>181</v>
      </c>
      <c r="B6" s="223"/>
      <c r="C6" s="223"/>
      <c r="D6" s="223"/>
    </row>
    <row r="7" ht="15.15" spans="1:4">
      <c r="A7" s="224" t="s">
        <v>42</v>
      </c>
      <c r="B7" s="225" t="s">
        <v>182</v>
      </c>
      <c r="C7" s="226" t="s">
        <v>183</v>
      </c>
      <c r="D7" s="226"/>
    </row>
    <row r="8" spans="1:4">
      <c r="A8" s="227" t="s">
        <v>45</v>
      </c>
      <c r="B8" s="228" t="s">
        <v>184</v>
      </c>
      <c r="C8" s="229" t="s">
        <v>185</v>
      </c>
      <c r="D8" s="229"/>
    </row>
    <row r="9" spans="1:4">
      <c r="A9" s="230" t="s">
        <v>48</v>
      </c>
      <c r="B9" s="231" t="s">
        <v>186</v>
      </c>
      <c r="C9" s="229" t="s">
        <v>187</v>
      </c>
      <c r="D9" s="229"/>
    </row>
    <row r="10" spans="1:4">
      <c r="A10" s="227" t="s">
        <v>53</v>
      </c>
      <c r="B10" s="228" t="s">
        <v>188</v>
      </c>
      <c r="C10" s="229" t="s">
        <v>189</v>
      </c>
      <c r="D10" s="229"/>
    </row>
    <row r="11" ht="15.15" spans="1:4">
      <c r="A11" s="232" t="s">
        <v>190</v>
      </c>
      <c r="B11" s="232"/>
      <c r="C11" s="232"/>
      <c r="D11" s="232"/>
    </row>
    <row r="12" ht="15.9" spans="1:4">
      <c r="A12" s="233" t="s">
        <v>191</v>
      </c>
      <c r="B12" s="233"/>
      <c r="C12" s="232" t="s">
        <v>192</v>
      </c>
      <c r="D12" s="234" t="s">
        <v>193</v>
      </c>
    </row>
    <row r="13" ht="15.15" spans="1:4">
      <c r="A13" s="235" t="s">
        <v>194</v>
      </c>
      <c r="B13" s="235"/>
      <c r="C13" s="229" t="s">
        <v>195</v>
      </c>
      <c r="D13" s="236">
        <f>RESUMO!D3</f>
        <v>6</v>
      </c>
    </row>
    <row r="14" spans="1:4">
      <c r="A14" s="237"/>
      <c r="B14" s="237"/>
      <c r="C14" s="229"/>
      <c r="D14" s="238"/>
    </row>
    <row r="15" ht="15.15" spans="1:7">
      <c r="A15" s="232" t="s">
        <v>14</v>
      </c>
      <c r="B15" s="232"/>
      <c r="C15" s="232"/>
      <c r="D15" s="232"/>
      <c r="F15" s="239"/>
      <c r="G15" s="239"/>
    </row>
    <row r="16" ht="15.15" spans="1:4">
      <c r="A16" s="240" t="s">
        <v>16</v>
      </c>
      <c r="B16" t="s">
        <v>17</v>
      </c>
      <c r="C16" s="240" t="s">
        <v>18</v>
      </c>
      <c r="D16" s="240" t="s">
        <v>19</v>
      </c>
    </row>
    <row r="17" spans="1:4">
      <c r="A17" s="240">
        <v>1</v>
      </c>
      <c r="B17" t="s">
        <v>20</v>
      </c>
      <c r="C17" s="241" t="s">
        <v>102</v>
      </c>
      <c r="D17" s="241" t="str">
        <f>A13</f>
        <v>Auxiliar Administrativo</v>
      </c>
    </row>
    <row r="18" spans="1:4">
      <c r="A18" s="240">
        <v>2</v>
      </c>
      <c r="B18" t="s">
        <v>23</v>
      </c>
      <c r="C18" s="241" t="s">
        <v>196</v>
      </c>
      <c r="D18" s="241" t="s">
        <v>197</v>
      </c>
    </row>
    <row r="19" spans="1:4">
      <c r="A19" s="240">
        <v>3</v>
      </c>
      <c r="B19" t="s">
        <v>26</v>
      </c>
      <c r="C19" s="241" t="str">
        <f>C9</f>
        <v>CCT PB000047/2021</v>
      </c>
      <c r="D19" s="192">
        <v>1148</v>
      </c>
    </row>
    <row r="20" spans="1:4">
      <c r="A20" s="240">
        <v>4</v>
      </c>
      <c r="B20" t="s">
        <v>29</v>
      </c>
      <c r="C20" s="241" t="str">
        <f>C9</f>
        <v>CCT PB000047/2021</v>
      </c>
      <c r="D20" s="242" t="s">
        <v>198</v>
      </c>
    </row>
    <row r="21" spans="1:4">
      <c r="A21" s="240">
        <v>5</v>
      </c>
      <c r="B21" t="s">
        <v>33</v>
      </c>
      <c r="C21" s="241" t="str">
        <f>C9</f>
        <v>CCT PB000047/2021</v>
      </c>
      <c r="D21" s="243" t="s">
        <v>199</v>
      </c>
    </row>
    <row r="22" spans="6:7">
      <c r="F22" s="239"/>
      <c r="G22" s="239"/>
    </row>
    <row r="23" spans="1:4">
      <c r="A23" s="223" t="s">
        <v>36</v>
      </c>
      <c r="B23" s="223"/>
      <c r="C23" s="223"/>
      <c r="D23" s="223"/>
    </row>
    <row r="24" spans="1:7">
      <c r="A24" s="240" t="s">
        <v>39</v>
      </c>
      <c r="B24" s="244" t="s">
        <v>40</v>
      </c>
      <c r="C24" s="240" t="s">
        <v>18</v>
      </c>
      <c r="D24" s="240" t="s">
        <v>19</v>
      </c>
      <c r="G24" s="245"/>
    </row>
    <row r="25" spans="1:7">
      <c r="A25" s="240" t="s">
        <v>42</v>
      </c>
      <c r="B25" t="s">
        <v>43</v>
      </c>
      <c r="C25" s="242" t="s">
        <v>200</v>
      </c>
      <c r="D25" s="192">
        <f>D19</f>
        <v>1148</v>
      </c>
      <c r="G25" s="245"/>
    </row>
    <row r="26" spans="1:7">
      <c r="A26" s="240" t="s">
        <v>45</v>
      </c>
      <c r="B26" t="s">
        <v>46</v>
      </c>
      <c r="C26" s="242"/>
      <c r="D26" s="192">
        <v>0</v>
      </c>
      <c r="G26" s="245"/>
    </row>
    <row r="27" spans="1:4">
      <c r="A27" s="240" t="s">
        <v>48</v>
      </c>
      <c r="B27" t="s">
        <v>49</v>
      </c>
      <c r="C27" s="242"/>
      <c r="D27" s="192">
        <v>0</v>
      </c>
    </row>
    <row r="28" spans="1:4">
      <c r="A28" s="240" t="s">
        <v>50</v>
      </c>
      <c r="B28" t="s">
        <v>51</v>
      </c>
      <c r="C28" s="242"/>
      <c r="D28" s="192">
        <v>0</v>
      </c>
    </row>
    <row r="29" spans="1:4">
      <c r="A29" s="240" t="s">
        <v>53</v>
      </c>
      <c r="B29" t="s">
        <v>54</v>
      </c>
      <c r="C29" s="242"/>
      <c r="D29" s="192">
        <v>0</v>
      </c>
    </row>
    <row r="30" spans="1:4">
      <c r="A30" s="240" t="s">
        <v>55</v>
      </c>
      <c r="B30" t="s">
        <v>56</v>
      </c>
      <c r="C30" s="242"/>
      <c r="D30" s="192">
        <v>0</v>
      </c>
    </row>
    <row r="31" spans="1:7">
      <c r="A31" s="240" t="s">
        <v>58</v>
      </c>
      <c r="C31" s="240"/>
      <c r="D31" s="246">
        <f>TRUNC((SUM(D25:D30)),2)</f>
        <v>1148</v>
      </c>
      <c r="F31" s="239"/>
      <c r="G31" s="239"/>
    </row>
    <row r="33" spans="1:7">
      <c r="A33" s="247" t="s">
        <v>61</v>
      </c>
      <c r="B33" s="247"/>
      <c r="C33" s="247"/>
      <c r="D33" s="247"/>
      <c r="G33" s="245"/>
    </row>
    <row r="35" spans="1:4">
      <c r="A35" s="239" t="s">
        <v>63</v>
      </c>
      <c r="B35" s="239"/>
      <c r="C35" s="239"/>
      <c r="D35" s="239"/>
    </row>
    <row r="36" spans="1:4">
      <c r="A36" s="240" t="s">
        <v>65</v>
      </c>
      <c r="B36" s="244" t="s">
        <v>66</v>
      </c>
      <c r="C36" s="240" t="s">
        <v>38</v>
      </c>
      <c r="D36" s="240" t="s">
        <v>19</v>
      </c>
    </row>
    <row r="37" spans="1:7">
      <c r="A37" s="240" t="s">
        <v>42</v>
      </c>
      <c r="B37" t="s">
        <v>67</v>
      </c>
      <c r="C37" s="248">
        <f>(1/12)</f>
        <v>0.0833333333333333</v>
      </c>
      <c r="D37" s="246">
        <f>TRUNC($D$31*C37,2)</f>
        <v>95.66</v>
      </c>
      <c r="F37" s="249"/>
      <c r="G37" s="249"/>
    </row>
    <row r="38" spans="1:7">
      <c r="A38" s="240" t="s">
        <v>45</v>
      </c>
      <c r="B38" t="s">
        <v>68</v>
      </c>
      <c r="C38" s="248">
        <f>(((1+1/3)/12))</f>
        <v>0.111111111111111</v>
      </c>
      <c r="D38" s="246">
        <f>TRUNC($D$31*C38,2)</f>
        <v>127.55</v>
      </c>
      <c r="F38" s="249"/>
      <c r="G38" s="249"/>
    </row>
    <row r="39" spans="1:7">
      <c r="A39" s="240" t="s">
        <v>58</v>
      </c>
      <c r="D39" s="246">
        <f>TRUNC((SUM(D37:D38)),2)</f>
        <v>223.21</v>
      </c>
      <c r="F39" s="249"/>
      <c r="G39" s="249"/>
    </row>
    <row r="40" ht="15.15" spans="4:7">
      <c r="D40" s="246"/>
      <c r="F40" s="249"/>
      <c r="G40" s="249"/>
    </row>
    <row r="41" ht="15.9" spans="1:7">
      <c r="A41" s="250" t="s">
        <v>201</v>
      </c>
      <c r="B41" s="250"/>
      <c r="C41" s="251" t="s">
        <v>202</v>
      </c>
      <c r="D41" s="252">
        <f>D31</f>
        <v>1148</v>
      </c>
      <c r="F41" s="249"/>
      <c r="G41" s="249"/>
    </row>
    <row r="42" ht="15.9" spans="1:7">
      <c r="A42" s="250"/>
      <c r="B42" s="250"/>
      <c r="C42" s="253" t="s">
        <v>203</v>
      </c>
      <c r="D42" s="252">
        <f>D39</f>
        <v>223.21</v>
      </c>
      <c r="F42" s="249"/>
      <c r="G42" s="249"/>
    </row>
    <row r="43" ht="15.9" spans="1:7">
      <c r="A43" s="250"/>
      <c r="B43" s="250"/>
      <c r="C43" s="251" t="s">
        <v>204</v>
      </c>
      <c r="D43" s="254">
        <f>TRUNC((SUM(D41:D42)),2)</f>
        <v>1371.21</v>
      </c>
      <c r="F43" s="249"/>
      <c r="G43" s="249"/>
    </row>
    <row r="44" ht="15.15" spans="1:7">
      <c r="A44" s="240"/>
      <c r="C44" s="255"/>
      <c r="D44" s="246"/>
      <c r="F44" s="249"/>
      <c r="G44" s="249"/>
    </row>
    <row r="45" spans="1:4">
      <c r="A45" s="239" t="s">
        <v>77</v>
      </c>
      <c r="B45" s="239"/>
      <c r="C45" s="239"/>
      <c r="D45" s="239"/>
    </row>
    <row r="46" spans="1:4">
      <c r="A46" s="240" t="s">
        <v>78</v>
      </c>
      <c r="B46" s="244" t="s">
        <v>79</v>
      </c>
      <c r="C46" s="240" t="s">
        <v>38</v>
      </c>
      <c r="D46" s="240" t="s">
        <v>80</v>
      </c>
    </row>
    <row r="47" spans="1:4">
      <c r="A47" s="240" t="s">
        <v>42</v>
      </c>
      <c r="B47" t="s">
        <v>81</v>
      </c>
      <c r="C47" s="248">
        <v>0.2</v>
      </c>
      <c r="D47" s="246">
        <f t="shared" ref="D47:D54" si="0">TRUNC(($D$43*C47),2)</f>
        <v>274.24</v>
      </c>
    </row>
    <row r="48" spans="1:4">
      <c r="A48" s="240" t="s">
        <v>45</v>
      </c>
      <c r="B48" t="s">
        <v>82</v>
      </c>
      <c r="C48" s="248">
        <v>0.025</v>
      </c>
      <c r="D48" s="246">
        <f t="shared" si="0"/>
        <v>34.28</v>
      </c>
    </row>
    <row r="49" spans="1:4">
      <c r="A49" s="240" t="s">
        <v>48</v>
      </c>
      <c r="B49" t="s">
        <v>205</v>
      </c>
      <c r="C49" s="256">
        <v>0.06</v>
      </c>
      <c r="D49" s="192">
        <f t="shared" si="0"/>
        <v>82.27</v>
      </c>
    </row>
    <row r="50" spans="1:4">
      <c r="A50" s="240" t="s">
        <v>50</v>
      </c>
      <c r="B50" t="s">
        <v>84</v>
      </c>
      <c r="C50" s="248">
        <v>0.015</v>
      </c>
      <c r="D50" s="246">
        <f t="shared" si="0"/>
        <v>20.56</v>
      </c>
    </row>
    <row r="51" spans="1:4">
      <c r="A51" s="240" t="s">
        <v>53</v>
      </c>
      <c r="B51" t="s">
        <v>85</v>
      </c>
      <c r="C51" s="248">
        <v>0.01</v>
      </c>
      <c r="D51" s="246">
        <f t="shared" si="0"/>
        <v>13.71</v>
      </c>
    </row>
    <row r="52" spans="1:4">
      <c r="A52" s="240" t="s">
        <v>55</v>
      </c>
      <c r="B52" t="s">
        <v>86</v>
      </c>
      <c r="C52" s="248">
        <v>0.006</v>
      </c>
      <c r="D52" s="246">
        <f t="shared" si="0"/>
        <v>8.22</v>
      </c>
    </row>
    <row r="53" spans="1:4">
      <c r="A53" s="240" t="s">
        <v>87</v>
      </c>
      <c r="B53" t="s">
        <v>88</v>
      </c>
      <c r="C53" s="248">
        <v>0.002</v>
      </c>
      <c r="D53" s="246">
        <f t="shared" si="0"/>
        <v>2.74</v>
      </c>
    </row>
    <row r="54" spans="1:4">
      <c r="A54" s="240" t="s">
        <v>89</v>
      </c>
      <c r="B54" t="s">
        <v>90</v>
      </c>
      <c r="C54" s="248">
        <v>0.08</v>
      </c>
      <c r="D54" s="246">
        <f t="shared" si="0"/>
        <v>109.69</v>
      </c>
    </row>
    <row r="55" spans="1:4">
      <c r="A55" s="240" t="s">
        <v>58</v>
      </c>
      <c r="C55" s="255">
        <f>SUM(C47:C54)</f>
        <v>0.398</v>
      </c>
      <c r="D55" s="246">
        <f>TRUNC(SUM(D47:D54),2)</f>
        <v>545.71</v>
      </c>
    </row>
    <row r="56" spans="1:4">
      <c r="A56" s="240"/>
      <c r="C56" s="255"/>
      <c r="D56" s="246"/>
    </row>
    <row r="57" spans="1:4">
      <c r="A57" s="239" t="s">
        <v>95</v>
      </c>
      <c r="B57" s="239"/>
      <c r="C57" s="239"/>
      <c r="D57" s="239"/>
    </row>
    <row r="58" spans="1:4">
      <c r="A58" s="240" t="s">
        <v>96</v>
      </c>
      <c r="B58" s="244" t="s">
        <v>97</v>
      </c>
      <c r="C58" s="240" t="s">
        <v>18</v>
      </c>
      <c r="D58" s="240" t="s">
        <v>19</v>
      </c>
    </row>
    <row r="59" spans="1:4">
      <c r="A59" s="240" t="s">
        <v>42</v>
      </c>
      <c r="B59" t="s">
        <v>98</v>
      </c>
      <c r="C59" s="241"/>
      <c r="D59" s="257">
        <v>0</v>
      </c>
    </row>
    <row r="60" spans="1:4">
      <c r="A60" s="240" t="s">
        <v>45</v>
      </c>
      <c r="B60" t="s">
        <v>99</v>
      </c>
      <c r="C60" s="241" t="str">
        <f>C9</f>
        <v>CCT PB000047/2021</v>
      </c>
      <c r="D60" s="192">
        <f>TRUNC((((22*18))-(((22*18))*0.2)),2)</f>
        <v>316.8</v>
      </c>
    </row>
    <row r="61" spans="1:4">
      <c r="A61" s="240" t="s">
        <v>48</v>
      </c>
      <c r="B61" t="s">
        <v>100</v>
      </c>
      <c r="C61" s="241"/>
      <c r="D61" s="192">
        <v>0</v>
      </c>
    </row>
    <row r="62" spans="1:6">
      <c r="A62" s="258" t="s">
        <v>50</v>
      </c>
      <c r="B62" s="259" t="s">
        <v>206</v>
      </c>
      <c r="C62" s="260"/>
      <c r="D62" s="260">
        <v>0</v>
      </c>
      <c r="F62" s="259"/>
    </row>
    <row r="63" spans="1:4">
      <c r="A63" s="240" t="s">
        <v>53</v>
      </c>
      <c r="B63" s="244" t="s">
        <v>207</v>
      </c>
      <c r="C63" s="241" t="str">
        <f>C60</f>
        <v>CCT PB000047/2021</v>
      </c>
      <c r="D63" s="192">
        <v>15</v>
      </c>
    </row>
    <row r="64" spans="1:4">
      <c r="A64" s="240" t="s">
        <v>55</v>
      </c>
      <c r="B64" s="261" t="s">
        <v>208</v>
      </c>
      <c r="C64" s="260" t="str">
        <f>C60</f>
        <v>CCT PB000047/2021</v>
      </c>
      <c r="D64" s="192">
        <v>5</v>
      </c>
    </row>
    <row r="65" spans="1:4">
      <c r="A65" s="240" t="s">
        <v>58</v>
      </c>
      <c r="D65" s="246">
        <f>TRUNC((SUM(D59:D64)),2)</f>
        <v>336.8</v>
      </c>
    </row>
    <row r="66" spans="1:4">
      <c r="A66" s="240"/>
      <c r="D66" s="246"/>
    </row>
    <row r="67" spans="1:4">
      <c r="A67" s="239" t="s">
        <v>105</v>
      </c>
      <c r="B67" s="239"/>
      <c r="C67" s="239"/>
      <c r="D67" s="239"/>
    </row>
    <row r="68" spans="1:4">
      <c r="A68" s="240" t="s">
        <v>106</v>
      </c>
      <c r="B68" s="244" t="s">
        <v>107</v>
      </c>
      <c r="C68" s="240" t="s">
        <v>18</v>
      </c>
      <c r="D68" s="240" t="s">
        <v>19</v>
      </c>
    </row>
    <row r="69" spans="1:4">
      <c r="A69" s="240" t="s">
        <v>65</v>
      </c>
      <c r="B69" t="s">
        <v>66</v>
      </c>
      <c r="C69" s="240"/>
      <c r="D69" s="246">
        <f>D39</f>
        <v>223.21</v>
      </c>
    </row>
    <row r="70" spans="1:4">
      <c r="A70" s="240" t="s">
        <v>78</v>
      </c>
      <c r="B70" t="s">
        <v>79</v>
      </c>
      <c r="C70" s="240"/>
      <c r="D70" s="246">
        <f>D55</f>
        <v>545.71</v>
      </c>
    </row>
    <row r="71" spans="1:4">
      <c r="A71" s="240" t="s">
        <v>96</v>
      </c>
      <c r="B71" t="s">
        <v>97</v>
      </c>
      <c r="C71" s="240"/>
      <c r="D71" s="246">
        <f>D65</f>
        <v>336.8</v>
      </c>
    </row>
    <row r="72" spans="1:4">
      <c r="A72" s="240" t="s">
        <v>58</v>
      </c>
      <c r="C72" s="240"/>
      <c r="D72" s="246">
        <f>TRUNC((SUM(D69:D71)),2)</f>
        <v>1105.72</v>
      </c>
    </row>
    <row r="74" spans="1:4">
      <c r="A74" s="223" t="s">
        <v>108</v>
      </c>
      <c r="B74" s="223"/>
      <c r="C74" s="223"/>
      <c r="D74" s="223"/>
    </row>
    <row r="75" spans="1:4">
      <c r="A75" s="240" t="s">
        <v>109</v>
      </c>
      <c r="B75" s="244" t="s">
        <v>110</v>
      </c>
      <c r="C75" s="240" t="s">
        <v>38</v>
      </c>
      <c r="D75" s="240" t="s">
        <v>19</v>
      </c>
    </row>
    <row r="76" spans="1:4">
      <c r="A76" s="240" t="s">
        <v>42</v>
      </c>
      <c r="B76" t="s">
        <v>111</v>
      </c>
      <c r="C76" s="256">
        <f>((1/12)*5%)</f>
        <v>0.00416666666666667</v>
      </c>
      <c r="D76" s="192">
        <f>TRUNC(($D$31*C76),2)</f>
        <v>4.78</v>
      </c>
    </row>
    <row r="77" spans="1:4">
      <c r="A77" s="240" t="s">
        <v>45</v>
      </c>
      <c r="B77" t="s">
        <v>112</v>
      </c>
      <c r="C77" s="262">
        <v>0.08</v>
      </c>
      <c r="D77" s="246">
        <f>TRUNC(($D$76*C77),2)</f>
        <v>0.38</v>
      </c>
    </row>
    <row r="78" spans="1:4">
      <c r="A78" s="240" t="s">
        <v>48</v>
      </c>
      <c r="B78" s="263" t="s">
        <v>113</v>
      </c>
      <c r="C78" s="264">
        <f>(0.08*0.4*0.05)</f>
        <v>0.0016</v>
      </c>
      <c r="D78" s="260">
        <f>TRUNC(($D$31*C78),2)</f>
        <v>1.83</v>
      </c>
    </row>
    <row r="79" spans="1:4">
      <c r="A79" s="240" t="s">
        <v>50</v>
      </c>
      <c r="B79" t="s">
        <v>114</v>
      </c>
      <c r="C79" s="265">
        <f>(((7/30)/12)*0.95)</f>
        <v>0.0184722222222222</v>
      </c>
      <c r="D79" s="266">
        <f>TRUNC(($D$31*C79),2)</f>
        <v>21.2</v>
      </c>
    </row>
    <row r="80" spans="1:4">
      <c r="A80" s="240" t="s">
        <v>53</v>
      </c>
      <c r="B80" s="263" t="s">
        <v>209</v>
      </c>
      <c r="C80" s="264">
        <f>C55</f>
        <v>0.398</v>
      </c>
      <c r="D80" s="260">
        <f>TRUNC(($D$79*C80),2)</f>
        <v>8.43</v>
      </c>
    </row>
    <row r="81" spans="1:4">
      <c r="A81" s="240" t="s">
        <v>55</v>
      </c>
      <c r="B81" s="263" t="s">
        <v>115</v>
      </c>
      <c r="C81" s="265">
        <f>(0.08*0.4*0.95)</f>
        <v>0.0304</v>
      </c>
      <c r="D81" s="289">
        <f>TRUNC(($D$31*C81),2)</f>
        <v>34.89</v>
      </c>
    </row>
    <row r="82" spans="1:4">
      <c r="A82" s="240" t="s">
        <v>58</v>
      </c>
      <c r="C82" s="262">
        <f>SUM(C76:C81)</f>
        <v>0.532638888888889</v>
      </c>
      <c r="D82" s="246">
        <f>TRUNC((SUM(D76:D81)),2)</f>
        <v>71.51</v>
      </c>
    </row>
    <row r="83" ht="15.15" spans="1:4">
      <c r="A83" s="240"/>
      <c r="D83" s="246"/>
    </row>
    <row r="84" ht="15.9" spans="1:4">
      <c r="A84" s="250" t="s">
        <v>210</v>
      </c>
      <c r="B84" s="250"/>
      <c r="C84" s="251" t="s">
        <v>202</v>
      </c>
      <c r="D84" s="252">
        <f>D31</f>
        <v>1148</v>
      </c>
    </row>
    <row r="85" ht="15.9" spans="1:4">
      <c r="A85" s="250"/>
      <c r="B85" s="250"/>
      <c r="C85" s="253" t="s">
        <v>211</v>
      </c>
      <c r="D85" s="252">
        <f>D72</f>
        <v>1105.72</v>
      </c>
    </row>
    <row r="86" ht="15.9" spans="1:4">
      <c r="A86" s="250"/>
      <c r="B86" s="250"/>
      <c r="C86" s="251" t="s">
        <v>212</v>
      </c>
      <c r="D86" s="252">
        <f>D82</f>
        <v>71.51</v>
      </c>
    </row>
    <row r="87" ht="15.9" spans="1:4">
      <c r="A87" s="250"/>
      <c r="B87" s="250"/>
      <c r="C87" s="253" t="s">
        <v>204</v>
      </c>
      <c r="D87" s="254">
        <f>TRUNC((SUM(D84:D86)),2)</f>
        <v>2325.23</v>
      </c>
    </row>
    <row r="88" ht="15.15" spans="1:4">
      <c r="A88" s="240"/>
      <c r="D88" s="246"/>
    </row>
    <row r="89" spans="1:4">
      <c r="A89" s="267" t="s">
        <v>127</v>
      </c>
      <c r="B89" s="267"/>
      <c r="C89" s="267"/>
      <c r="D89" s="267"/>
    </row>
    <row r="90" spans="1:4">
      <c r="A90" s="239" t="s">
        <v>128</v>
      </c>
      <c r="B90" s="239"/>
      <c r="C90" s="239"/>
      <c r="D90" s="239"/>
    </row>
    <row r="91" spans="1:4">
      <c r="A91" s="240" t="s">
        <v>129</v>
      </c>
      <c r="B91" s="244" t="s">
        <v>130</v>
      </c>
      <c r="C91" s="240" t="s">
        <v>38</v>
      </c>
      <c r="D91" s="240" t="s">
        <v>19</v>
      </c>
    </row>
    <row r="92" spans="1:4">
      <c r="A92" s="240" t="s">
        <v>42</v>
      </c>
      <c r="B92" t="s">
        <v>213</v>
      </c>
      <c r="C92" s="262">
        <f>(((1+1/3)/12)/12)+((1/12)/12)</f>
        <v>0.0162037037037037</v>
      </c>
      <c r="D92" s="246">
        <f>TRUNC(($D$87*C92),2)</f>
        <v>37.67</v>
      </c>
    </row>
    <row r="93" spans="1:4">
      <c r="A93" s="240" t="s">
        <v>45</v>
      </c>
      <c r="B93" t="s">
        <v>133</v>
      </c>
      <c r="C93" s="256">
        <f>((2/30)/12)</f>
        <v>0.00555555555555556</v>
      </c>
      <c r="D93" s="260">
        <f t="shared" ref="D92:D96" si="1">TRUNC(($D$87*C93),2)</f>
        <v>12.91</v>
      </c>
    </row>
    <row r="94" spans="1:4">
      <c r="A94" s="240" t="s">
        <v>48</v>
      </c>
      <c r="B94" t="s">
        <v>134</v>
      </c>
      <c r="C94" s="256">
        <f>((5/30)/12)*0.02</f>
        <v>0.000277777777777778</v>
      </c>
      <c r="D94" s="260">
        <f t="shared" si="1"/>
        <v>0.64</v>
      </c>
    </row>
    <row r="95" spans="1:4">
      <c r="A95" s="258" t="s">
        <v>50</v>
      </c>
      <c r="B95" s="263" t="s">
        <v>135</v>
      </c>
      <c r="C95" s="264">
        <f>((15/30)/12)*0.08</f>
        <v>0.00333333333333333</v>
      </c>
      <c r="D95" s="260">
        <f t="shared" si="1"/>
        <v>7.75</v>
      </c>
    </row>
    <row r="96" spans="1:4">
      <c r="A96" s="240" t="s">
        <v>53</v>
      </c>
      <c r="B96" t="s">
        <v>136</v>
      </c>
      <c r="C96" s="256">
        <f>((1+1/3)/12)*0.03*((4/12))</f>
        <v>0.00111111111111111</v>
      </c>
      <c r="D96" s="260">
        <f t="shared" si="1"/>
        <v>2.58</v>
      </c>
    </row>
    <row r="97" spans="1:4">
      <c r="A97" s="240" t="s">
        <v>55</v>
      </c>
      <c r="B97" s="263" t="s">
        <v>214</v>
      </c>
      <c r="C97" s="268">
        <v>0</v>
      </c>
      <c r="D97" s="260">
        <f>TRUNC($D$87*C97)</f>
        <v>0</v>
      </c>
    </row>
    <row r="98" spans="1:4">
      <c r="A98" s="240" t="s">
        <v>58</v>
      </c>
      <c r="C98" s="262">
        <f>SUM(C92:C97)</f>
        <v>0.0264814814814815</v>
      </c>
      <c r="D98" s="246">
        <f>TRUNC((SUM(D92:D97)),2)</f>
        <v>61.55</v>
      </c>
    </row>
    <row r="99" spans="1:4">
      <c r="A99" s="240"/>
      <c r="C99" s="240"/>
      <c r="D99" s="246"/>
    </row>
    <row r="100" spans="1:4">
      <c r="A100" s="239" t="s">
        <v>144</v>
      </c>
      <c r="B100" s="239"/>
      <c r="C100" s="239"/>
      <c r="D100" s="239"/>
    </row>
    <row r="101" spans="1:4">
      <c r="A101" s="240" t="s">
        <v>145</v>
      </c>
      <c r="B101" s="244" t="s">
        <v>146</v>
      </c>
      <c r="C101" s="240" t="s">
        <v>18</v>
      </c>
      <c r="D101" s="240" t="s">
        <v>19</v>
      </c>
    </row>
    <row r="102" ht="72" spans="1:4">
      <c r="A102" s="258" t="s">
        <v>42</v>
      </c>
      <c r="B102" s="269" t="s">
        <v>147</v>
      </c>
      <c r="C102" s="202" t="s">
        <v>215</v>
      </c>
      <c r="D102" s="203" t="s">
        <v>216</v>
      </c>
    </row>
    <row r="103" spans="1:4">
      <c r="A103" s="240" t="s">
        <v>58</v>
      </c>
      <c r="C103" s="270"/>
      <c r="D103" s="204" t="str">
        <f>D102</f>
        <v>*=TRUNCAR(($D$86/220)*(1*(365/12))/2)</v>
      </c>
    </row>
    <row r="105" spans="1:4">
      <c r="A105" s="239" t="s">
        <v>148</v>
      </c>
      <c r="B105" s="239"/>
      <c r="C105" s="239"/>
      <c r="D105" s="239"/>
    </row>
    <row r="106" spans="1:4">
      <c r="A106" s="240" t="s">
        <v>149</v>
      </c>
      <c r="B106" s="244" t="s">
        <v>150</v>
      </c>
      <c r="C106" s="240" t="s">
        <v>18</v>
      </c>
      <c r="D106" s="240" t="s">
        <v>19</v>
      </c>
    </row>
    <row r="107" spans="1:4">
      <c r="A107" s="240" t="s">
        <v>129</v>
      </c>
      <c r="B107" t="s">
        <v>130</v>
      </c>
      <c r="D107" s="192">
        <f>D98</f>
        <v>61.55</v>
      </c>
    </row>
    <row r="108" spans="1:4">
      <c r="A108" s="240" t="s">
        <v>145</v>
      </c>
      <c r="B108" t="s">
        <v>151</v>
      </c>
      <c r="C108" s="244"/>
      <c r="D108" s="271" t="str">
        <f>Submódulo4.260_55107[[#Totals],[Valor]]</f>
        <v>*=TRUNCAR(($D$86/220)*(1*(365/12))/2)</v>
      </c>
    </row>
    <row r="109" ht="43.2" spans="1:4">
      <c r="A109" s="258" t="s">
        <v>58</v>
      </c>
      <c r="B109" s="259"/>
      <c r="C109" s="202" t="s">
        <v>217</v>
      </c>
      <c r="D109" s="272">
        <f>TRUNC((SUM(D107:D108)),2)</f>
        <v>61.55</v>
      </c>
    </row>
    <row r="111" spans="1:4">
      <c r="A111" s="223" t="s">
        <v>152</v>
      </c>
      <c r="B111" s="223"/>
      <c r="C111" s="223"/>
      <c r="D111" s="223"/>
    </row>
    <row r="112" ht="37" customHeight="1" spans="1:4">
      <c r="A112" s="258" t="s">
        <v>153</v>
      </c>
      <c r="B112" s="259" t="s">
        <v>154</v>
      </c>
      <c r="C112" s="258" t="s">
        <v>18</v>
      </c>
      <c r="D112" s="258" t="s">
        <v>19</v>
      </c>
    </row>
    <row r="113" spans="1:4">
      <c r="A113" s="240" t="s">
        <v>42</v>
      </c>
      <c r="B113" t="s">
        <v>218</v>
      </c>
      <c r="D113" s="191">
        <f>Uniformes!G11</f>
        <v>92.4</v>
      </c>
    </row>
    <row r="114" spans="1:4">
      <c r="A114" s="240" t="s">
        <v>45</v>
      </c>
      <c r="B114" t="s">
        <v>219</v>
      </c>
      <c r="D114" s="260">
        <f>EPC!E21</f>
        <v>15.95</v>
      </c>
    </row>
    <row r="115" spans="1:4">
      <c r="A115" s="240" t="s">
        <v>48</v>
      </c>
      <c r="B115" t="s">
        <v>156</v>
      </c>
      <c r="D115" s="260">
        <v>0</v>
      </c>
    </row>
    <row r="116" spans="1:4">
      <c r="A116" s="240" t="s">
        <v>50</v>
      </c>
      <c r="B116" t="s">
        <v>157</v>
      </c>
      <c r="D116" s="260">
        <v>0</v>
      </c>
    </row>
    <row r="117" spans="1:4">
      <c r="A117" s="240" t="s">
        <v>53</v>
      </c>
      <c r="B117" t="s">
        <v>220</v>
      </c>
      <c r="C117" s="240"/>
      <c r="D117" s="290">
        <v>0</v>
      </c>
    </row>
    <row r="118" spans="1:4">
      <c r="A118" s="240" t="s">
        <v>58</v>
      </c>
      <c r="D118" s="246">
        <f>SUBTOTAL(109,Módulo562_58116[Valor])</f>
        <v>108.35</v>
      </c>
    </row>
    <row r="119" ht="15.15"/>
    <row r="120" ht="15.9" spans="1:4">
      <c r="A120" s="250" t="s">
        <v>221</v>
      </c>
      <c r="B120" s="250"/>
      <c r="C120" s="251" t="s">
        <v>202</v>
      </c>
      <c r="D120" s="252">
        <f>D31</f>
        <v>1148</v>
      </c>
    </row>
    <row r="121" ht="15.9" spans="1:4">
      <c r="A121" s="250"/>
      <c r="B121" s="250"/>
      <c r="C121" s="253" t="s">
        <v>211</v>
      </c>
      <c r="D121" s="252">
        <f>D72</f>
        <v>1105.72</v>
      </c>
    </row>
    <row r="122" ht="15.9" spans="1:4">
      <c r="A122" s="250"/>
      <c r="B122" s="250"/>
      <c r="C122" s="251" t="s">
        <v>212</v>
      </c>
      <c r="D122" s="252">
        <f>D82</f>
        <v>71.51</v>
      </c>
    </row>
    <row r="123" ht="15.9" spans="1:4">
      <c r="A123" s="250"/>
      <c r="B123" s="250"/>
      <c r="C123" s="253" t="s">
        <v>222</v>
      </c>
      <c r="D123" s="252">
        <f>D109</f>
        <v>61.55</v>
      </c>
    </row>
    <row r="124" ht="15.9" spans="1:4">
      <c r="A124" s="250"/>
      <c r="B124" s="250"/>
      <c r="C124" s="251" t="s">
        <v>223</v>
      </c>
      <c r="D124" s="252">
        <f>D118</f>
        <v>108.35</v>
      </c>
    </row>
    <row r="125" ht="15.9" spans="1:4">
      <c r="A125" s="250"/>
      <c r="B125" s="250"/>
      <c r="C125" s="253" t="s">
        <v>204</v>
      </c>
      <c r="D125" s="254">
        <f>TRUNC((SUM(D120:D124)),2)</f>
        <v>2495.13</v>
      </c>
    </row>
    <row r="126" ht="15.15"/>
    <row r="127" spans="1:4">
      <c r="A127" s="223" t="s">
        <v>164</v>
      </c>
      <c r="B127" s="223"/>
      <c r="C127" s="223"/>
      <c r="D127" s="223"/>
    </row>
    <row r="128" ht="15.15" spans="1:7">
      <c r="A128" s="240" t="s">
        <v>165</v>
      </c>
      <c r="B128" t="s">
        <v>166</v>
      </c>
      <c r="C128" s="240" t="s">
        <v>38</v>
      </c>
      <c r="D128" s="240" t="s">
        <v>19</v>
      </c>
      <c r="F128" s="274" t="s">
        <v>224</v>
      </c>
      <c r="G128" s="274"/>
    </row>
    <row r="129" ht="15.15" spans="1:7">
      <c r="A129" s="240" t="s">
        <v>42</v>
      </c>
      <c r="B129" t="s">
        <v>167</v>
      </c>
      <c r="C129" s="188">
        <v>0.044</v>
      </c>
      <c r="D129" s="175">
        <f>TRUNC(($D$125*C129),2)</f>
        <v>109.78</v>
      </c>
      <c r="F129" s="275" t="s">
        <v>225</v>
      </c>
      <c r="G129" s="264">
        <f>C131</f>
        <v>0.0865</v>
      </c>
    </row>
    <row r="130" ht="15.15" spans="1:7">
      <c r="A130" s="240" t="s">
        <v>45</v>
      </c>
      <c r="B130" t="s">
        <v>59</v>
      </c>
      <c r="C130" s="188">
        <v>0.0413</v>
      </c>
      <c r="D130" s="175">
        <f>TRUNC((C130*(D125+D129)),2)</f>
        <v>107.58</v>
      </c>
      <c r="F130" s="276" t="s">
        <v>226</v>
      </c>
      <c r="G130" s="277">
        <f>TRUNC(SUM(D125,D129,D130),2)</f>
        <v>2712.49</v>
      </c>
    </row>
    <row r="131" spans="1:7">
      <c r="A131" s="240" t="s">
        <v>48</v>
      </c>
      <c r="B131" t="s">
        <v>168</v>
      </c>
      <c r="C131" s="188">
        <f>SUM(C132:C134)</f>
        <v>0.0865</v>
      </c>
      <c r="D131" s="273">
        <f>SUM(D132:D134)</f>
        <v>256.83</v>
      </c>
      <c r="F131" s="275" t="s">
        <v>227</v>
      </c>
      <c r="G131" s="278">
        <f>(100-8.65)/100</f>
        <v>0.9135</v>
      </c>
    </row>
    <row r="132" ht="15.15" spans="1:7">
      <c r="A132" s="240"/>
      <c r="B132" t="s">
        <v>228</v>
      </c>
      <c r="C132" s="256">
        <v>0.0065</v>
      </c>
      <c r="D132" s="192">
        <f t="shared" ref="D132:D134" si="2">TRUNC(($G$132*C132),2)</f>
        <v>19.3</v>
      </c>
      <c r="F132" s="276" t="s">
        <v>224</v>
      </c>
      <c r="G132" s="277">
        <f>TRUNC((G130/G131),2)</f>
        <v>2969.33</v>
      </c>
    </row>
    <row r="133" ht="15.15" spans="1:4">
      <c r="A133" s="240"/>
      <c r="B133" t="s">
        <v>229</v>
      </c>
      <c r="C133" s="256">
        <v>0.03</v>
      </c>
      <c r="D133" s="192">
        <f t="shared" si="2"/>
        <v>89.07</v>
      </c>
    </row>
    <row r="134" spans="1:4">
      <c r="A134" s="240"/>
      <c r="B134" t="s">
        <v>230</v>
      </c>
      <c r="C134" s="256">
        <v>0.05</v>
      </c>
      <c r="D134" s="192">
        <f t="shared" si="2"/>
        <v>148.46</v>
      </c>
    </row>
    <row r="135" spans="1:4">
      <c r="A135" s="240" t="s">
        <v>58</v>
      </c>
      <c r="B135" s="148"/>
      <c r="C135" s="279"/>
      <c r="D135" s="246">
        <f>SUM(D129:D131)</f>
        <v>474.19</v>
      </c>
    </row>
    <row r="136" spans="1:4">
      <c r="A136" s="240"/>
      <c r="C136" s="279"/>
      <c r="D136" s="246"/>
    </row>
    <row r="138" spans="1:4">
      <c r="A138" s="223" t="s">
        <v>172</v>
      </c>
      <c r="B138" s="223"/>
      <c r="C138" s="223"/>
      <c r="D138" s="223"/>
    </row>
    <row r="139" spans="1:4">
      <c r="A139" s="240" t="s">
        <v>16</v>
      </c>
      <c r="B139" s="240" t="s">
        <v>173</v>
      </c>
      <c r="C139" s="240" t="s">
        <v>102</v>
      </c>
      <c r="D139" s="240" t="s">
        <v>19</v>
      </c>
    </row>
    <row r="140" spans="1:4">
      <c r="A140" s="240" t="s">
        <v>42</v>
      </c>
      <c r="B140" t="s">
        <v>36</v>
      </c>
      <c r="D140" s="246">
        <f>D31</f>
        <v>1148</v>
      </c>
    </row>
    <row r="141" spans="1:4">
      <c r="A141" s="240" t="s">
        <v>45</v>
      </c>
      <c r="B141" t="s">
        <v>61</v>
      </c>
      <c r="D141" s="246">
        <f>D72</f>
        <v>1105.72</v>
      </c>
    </row>
    <row r="142" spans="1:4">
      <c r="A142" s="240" t="s">
        <v>48</v>
      </c>
      <c r="B142" t="s">
        <v>108</v>
      </c>
      <c r="D142" s="246">
        <f>D82</f>
        <v>71.51</v>
      </c>
    </row>
    <row r="143" spans="1:4">
      <c r="A143" s="240" t="s">
        <v>50</v>
      </c>
      <c r="B143" t="s">
        <v>174</v>
      </c>
      <c r="D143" s="246">
        <f>D109</f>
        <v>61.55</v>
      </c>
    </row>
    <row r="144" spans="1:4">
      <c r="A144" s="240" t="s">
        <v>53</v>
      </c>
      <c r="B144" t="s">
        <v>152</v>
      </c>
      <c r="D144" s="246">
        <f>D118</f>
        <v>108.35</v>
      </c>
    </row>
    <row r="145" spans="2:4">
      <c r="B145" s="280" t="s">
        <v>175</v>
      </c>
      <c r="D145" s="246">
        <f>SUM(D140:D144)</f>
        <v>2495.13</v>
      </c>
    </row>
    <row r="146" spans="1:4">
      <c r="A146" s="240" t="s">
        <v>55</v>
      </c>
      <c r="B146" t="s">
        <v>164</v>
      </c>
      <c r="D146" s="246">
        <f>D135</f>
        <v>474.19</v>
      </c>
    </row>
    <row r="147" spans="1:4">
      <c r="A147" s="281"/>
      <c r="B147" s="282" t="s">
        <v>231</v>
      </c>
      <c r="C147" s="281"/>
      <c r="D147" s="283">
        <f>TRUNC((SUM(D140:D144)+D146),2)</f>
        <v>2969.32</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workbookViewId="0">
      <selection activeCell="D148" sqref="A2:D148"/>
    </sheetView>
  </sheetViews>
  <sheetFormatPr defaultColWidth="9.13888888888889" defaultRowHeight="14.4" outlineLevelCol="6"/>
  <cols>
    <col min="1" max="1" width="10.7777777777778" customWidth="1"/>
    <col min="2" max="2" width="48.3333333333333" customWidth="1"/>
    <col min="3" max="3" width="26" customWidth="1"/>
    <col min="4" max="4" width="34.5555555555556" customWidth="1"/>
    <col min="6" max="6" width="22.8611111111111" customWidth="1"/>
    <col min="7" max="7" width="13.4259259259259" customWidth="1"/>
    <col min="8" max="8" width="11" customWidth="1"/>
    <col min="9" max="9" width="11.4259259259259" customWidth="1"/>
  </cols>
  <sheetData>
    <row r="2" ht="18.75" spans="1:4">
      <c r="A2" s="216" t="s">
        <v>177</v>
      </c>
      <c r="B2" s="216"/>
      <c r="C2" s="216"/>
      <c r="D2" s="216"/>
    </row>
    <row r="3" ht="15.15" spans="1:4">
      <c r="A3" s="217" t="s">
        <v>178</v>
      </c>
      <c r="B3" s="217"/>
      <c r="C3" s="217"/>
      <c r="D3" s="217"/>
    </row>
    <row r="4" spans="1:4">
      <c r="A4" s="218" t="s">
        <v>179</v>
      </c>
      <c r="B4" s="219" t="s">
        <v>180</v>
      </c>
      <c r="C4" s="220"/>
      <c r="D4" s="220"/>
    </row>
    <row r="5" spans="1:4">
      <c r="A5" s="221"/>
      <c r="B5" s="222"/>
      <c r="C5" s="222"/>
      <c r="D5" s="222"/>
    </row>
    <row r="6" ht="15.15" spans="1:4">
      <c r="A6" s="223" t="s">
        <v>181</v>
      </c>
      <c r="B6" s="223"/>
      <c r="C6" s="223"/>
      <c r="D6" s="223"/>
    </row>
    <row r="7" ht="15.15" spans="1:4">
      <c r="A7" s="224" t="s">
        <v>42</v>
      </c>
      <c r="B7" s="225" t="s">
        <v>182</v>
      </c>
      <c r="C7" s="226" t="s">
        <v>183</v>
      </c>
      <c r="D7" s="226"/>
    </row>
    <row r="8" spans="1:4">
      <c r="A8" s="227" t="s">
        <v>45</v>
      </c>
      <c r="B8" s="228" t="s">
        <v>184</v>
      </c>
      <c r="C8" s="229" t="s">
        <v>185</v>
      </c>
      <c r="D8" s="229"/>
    </row>
    <row r="9" spans="1:4">
      <c r="A9" s="230" t="s">
        <v>48</v>
      </c>
      <c r="B9" s="231" t="s">
        <v>186</v>
      </c>
      <c r="C9" s="229" t="s">
        <v>187</v>
      </c>
      <c r="D9" s="229"/>
    </row>
    <row r="10" spans="1:4">
      <c r="A10" s="227" t="s">
        <v>53</v>
      </c>
      <c r="B10" s="228" t="s">
        <v>188</v>
      </c>
      <c r="C10" s="229" t="s">
        <v>189</v>
      </c>
      <c r="D10" s="229"/>
    </row>
    <row r="11" ht="15.15" spans="1:4">
      <c r="A11" s="232" t="s">
        <v>190</v>
      </c>
      <c r="B11" s="232"/>
      <c r="C11" s="232"/>
      <c r="D11" s="232"/>
    </row>
    <row r="12" ht="15.9" spans="1:4">
      <c r="A12" s="233" t="s">
        <v>191</v>
      </c>
      <c r="B12" s="233"/>
      <c r="C12" s="232" t="s">
        <v>192</v>
      </c>
      <c r="D12" s="234" t="s">
        <v>193</v>
      </c>
    </row>
    <row r="13" ht="15.15" spans="1:4">
      <c r="A13" s="235" t="s">
        <v>232</v>
      </c>
      <c r="B13" s="235"/>
      <c r="C13" s="229" t="s">
        <v>233</v>
      </c>
      <c r="D13" s="236">
        <f>RESUMO!D4</f>
        <v>1</v>
      </c>
    </row>
    <row r="14" spans="1:4">
      <c r="A14" s="237"/>
      <c r="B14" s="237"/>
      <c r="C14" s="229"/>
      <c r="D14" s="238"/>
    </row>
    <row r="15" ht="15.15" spans="1:7">
      <c r="A15" s="232" t="s">
        <v>14</v>
      </c>
      <c r="B15" s="232"/>
      <c r="C15" s="232"/>
      <c r="D15" s="232"/>
      <c r="F15" s="239"/>
      <c r="G15" s="239"/>
    </row>
    <row r="16" ht="15.15" spans="1:4">
      <c r="A16" s="240" t="s">
        <v>16</v>
      </c>
      <c r="B16" t="s">
        <v>17</v>
      </c>
      <c r="C16" s="240" t="s">
        <v>18</v>
      </c>
      <c r="D16" s="240" t="s">
        <v>19</v>
      </c>
    </row>
    <row r="17" spans="1:6">
      <c r="A17" s="240">
        <v>1</v>
      </c>
      <c r="B17" t="s">
        <v>20</v>
      </c>
      <c r="C17" s="241" t="s">
        <v>102</v>
      </c>
      <c r="D17" s="241" t="str">
        <f>A13</f>
        <v>Agente de Portaria</v>
      </c>
      <c r="F17" s="284"/>
    </row>
    <row r="18" spans="1:4">
      <c r="A18" s="240">
        <v>2</v>
      </c>
      <c r="B18" t="s">
        <v>23</v>
      </c>
      <c r="C18" s="241" t="s">
        <v>196</v>
      </c>
      <c r="D18" s="241" t="s">
        <v>234</v>
      </c>
    </row>
    <row r="19" spans="1:4">
      <c r="A19" s="240">
        <v>3</v>
      </c>
      <c r="B19" t="s">
        <v>26</v>
      </c>
      <c r="C19" s="241" t="str">
        <f>C9</f>
        <v>CCT PB000047/2021</v>
      </c>
      <c r="D19" s="192">
        <v>1124</v>
      </c>
    </row>
    <row r="20" spans="1:4">
      <c r="A20" s="240">
        <v>4</v>
      </c>
      <c r="B20" t="s">
        <v>29</v>
      </c>
      <c r="C20" s="241" t="str">
        <f>C9</f>
        <v>CCT PB000047/2021</v>
      </c>
      <c r="D20" s="242" t="s">
        <v>198</v>
      </c>
    </row>
    <row r="21" spans="1:4">
      <c r="A21" s="240">
        <v>5</v>
      </c>
      <c r="B21" t="s">
        <v>33</v>
      </c>
      <c r="C21" s="241" t="str">
        <f>C9</f>
        <v>CCT PB000047/2021</v>
      </c>
      <c r="D21" s="243" t="s">
        <v>199</v>
      </c>
    </row>
    <row r="22" spans="6:7">
      <c r="F22" s="239"/>
      <c r="G22" s="239"/>
    </row>
    <row r="23" spans="1:4">
      <c r="A23" s="223" t="s">
        <v>36</v>
      </c>
      <c r="B23" s="223"/>
      <c r="C23" s="223"/>
      <c r="D23" s="223"/>
    </row>
    <row r="24" spans="1:7">
      <c r="A24" s="240" t="s">
        <v>39</v>
      </c>
      <c r="B24" s="244" t="s">
        <v>40</v>
      </c>
      <c r="C24" s="240" t="s">
        <v>18</v>
      </c>
      <c r="D24" s="240" t="s">
        <v>19</v>
      </c>
      <c r="G24" s="245"/>
    </row>
    <row r="25" spans="1:7">
      <c r="A25" s="240" t="s">
        <v>42</v>
      </c>
      <c r="B25" t="s">
        <v>43</v>
      </c>
      <c r="C25" s="242" t="s">
        <v>235</v>
      </c>
      <c r="D25" s="192">
        <f>D19</f>
        <v>1124</v>
      </c>
      <c r="G25" s="245"/>
    </row>
    <row r="26" spans="1:7">
      <c r="A26" s="240" t="s">
        <v>45</v>
      </c>
      <c r="B26" t="s">
        <v>46</v>
      </c>
      <c r="C26" s="242"/>
      <c r="D26" s="192">
        <v>0</v>
      </c>
      <c r="G26" s="245"/>
    </row>
    <row r="27" spans="1:4">
      <c r="A27" s="240" t="s">
        <v>48</v>
      </c>
      <c r="B27" t="s">
        <v>49</v>
      </c>
      <c r="C27" s="242"/>
      <c r="D27" s="192">
        <v>0</v>
      </c>
    </row>
    <row r="28" spans="1:4">
      <c r="A28" s="240" t="s">
        <v>50</v>
      </c>
      <c r="B28" t="s">
        <v>51</v>
      </c>
      <c r="C28" s="242"/>
      <c r="D28" s="192">
        <v>0</v>
      </c>
    </row>
    <row r="29" spans="1:4">
      <c r="A29" s="240" t="s">
        <v>53</v>
      </c>
      <c r="B29" t="s">
        <v>54</v>
      </c>
      <c r="C29" s="242"/>
      <c r="D29" s="192">
        <v>0</v>
      </c>
    </row>
    <row r="30" spans="1:4">
      <c r="A30" s="240" t="s">
        <v>55</v>
      </c>
      <c r="B30" t="s">
        <v>56</v>
      </c>
      <c r="C30" s="242"/>
      <c r="D30" s="192">
        <v>0</v>
      </c>
    </row>
    <row r="31" spans="1:7">
      <c r="A31" s="240" t="s">
        <v>58</v>
      </c>
      <c r="C31" s="240"/>
      <c r="D31" s="246">
        <f>TRUNC((SUM(D25:D30)),2)</f>
        <v>1124</v>
      </c>
      <c r="F31" s="239"/>
      <c r="G31" s="239"/>
    </row>
    <row r="33" spans="1:7">
      <c r="A33" s="247" t="s">
        <v>61</v>
      </c>
      <c r="B33" s="247"/>
      <c r="C33" s="247"/>
      <c r="D33" s="247"/>
      <c r="G33" s="245"/>
    </row>
    <row r="35" spans="1:4">
      <c r="A35" s="239" t="s">
        <v>63</v>
      </c>
      <c r="B35" s="239"/>
      <c r="C35" s="239"/>
      <c r="D35" s="239"/>
    </row>
    <row r="36" spans="1:4">
      <c r="A36" s="240" t="s">
        <v>65</v>
      </c>
      <c r="B36" s="244" t="s">
        <v>66</v>
      </c>
      <c r="C36" s="240" t="s">
        <v>38</v>
      </c>
      <c r="D36" s="240" t="s">
        <v>19</v>
      </c>
    </row>
    <row r="37" spans="1:7">
      <c r="A37" s="240" t="s">
        <v>42</v>
      </c>
      <c r="B37" t="s">
        <v>67</v>
      </c>
      <c r="C37" s="248">
        <f>(1/12)</f>
        <v>0.0833333333333333</v>
      </c>
      <c r="D37" s="246">
        <f>TRUNC($D$31*C37,2)</f>
        <v>93.66</v>
      </c>
      <c r="F37" s="249"/>
      <c r="G37" s="249"/>
    </row>
    <row r="38" spans="1:7">
      <c r="A38" s="240" t="s">
        <v>45</v>
      </c>
      <c r="B38" t="s">
        <v>68</v>
      </c>
      <c r="C38" s="248">
        <f>(((1+1/3)/12))</f>
        <v>0.111111111111111</v>
      </c>
      <c r="D38" s="246">
        <f>TRUNC($D$31*C38,2)</f>
        <v>124.88</v>
      </c>
      <c r="F38" s="249"/>
      <c r="G38" s="249"/>
    </row>
    <row r="39" spans="1:7">
      <c r="A39" s="240" t="s">
        <v>58</v>
      </c>
      <c r="D39" s="246">
        <f>TRUNC((SUM(D37:D38)),2)</f>
        <v>218.54</v>
      </c>
      <c r="F39" s="249"/>
      <c r="G39" s="249"/>
    </row>
    <row r="40" ht="15.15" spans="4:7">
      <c r="D40" s="246"/>
      <c r="F40" s="249"/>
      <c r="G40" s="249"/>
    </row>
    <row r="41" ht="15.9" spans="1:7">
      <c r="A41" s="250" t="s">
        <v>201</v>
      </c>
      <c r="B41" s="250"/>
      <c r="C41" s="251" t="s">
        <v>202</v>
      </c>
      <c r="D41" s="252">
        <f>D31</f>
        <v>1124</v>
      </c>
      <c r="F41" s="249"/>
      <c r="G41" s="249"/>
    </row>
    <row r="42" ht="15.9" spans="1:7">
      <c r="A42" s="250"/>
      <c r="B42" s="250"/>
      <c r="C42" s="253" t="s">
        <v>203</v>
      </c>
      <c r="D42" s="252">
        <f>D39</f>
        <v>218.54</v>
      </c>
      <c r="F42" s="249"/>
      <c r="G42" s="249"/>
    </row>
    <row r="43" ht="15.9" spans="1:7">
      <c r="A43" s="250"/>
      <c r="B43" s="250"/>
      <c r="C43" s="251" t="s">
        <v>204</v>
      </c>
      <c r="D43" s="254">
        <f>TRUNC(SUM(D41:D42),2)</f>
        <v>1342.54</v>
      </c>
      <c r="F43" s="249"/>
      <c r="G43" s="249"/>
    </row>
    <row r="44" ht="15.15" spans="1:7">
      <c r="A44" s="240"/>
      <c r="C44" s="255"/>
      <c r="D44" s="246"/>
      <c r="F44" s="249"/>
      <c r="G44" s="249"/>
    </row>
    <row r="45" spans="1:4">
      <c r="A45" s="239" t="s">
        <v>77</v>
      </c>
      <c r="B45" s="239"/>
      <c r="C45" s="239"/>
      <c r="D45" s="239"/>
    </row>
    <row r="46" spans="1:4">
      <c r="A46" s="240" t="s">
        <v>78</v>
      </c>
      <c r="B46" s="244" t="s">
        <v>79</v>
      </c>
      <c r="C46" s="240" t="s">
        <v>38</v>
      </c>
      <c r="D46" s="240" t="s">
        <v>80</v>
      </c>
    </row>
    <row r="47" spans="1:4">
      <c r="A47" s="240" t="s">
        <v>42</v>
      </c>
      <c r="B47" t="s">
        <v>81</v>
      </c>
      <c r="C47" s="248">
        <v>0.2</v>
      </c>
      <c r="D47" s="285">
        <f t="shared" ref="D47:D54" si="0">TRUNC(($D$43*C47),2)</f>
        <v>268.5</v>
      </c>
    </row>
    <row r="48" spans="1:4">
      <c r="A48" s="240" t="s">
        <v>45</v>
      </c>
      <c r="B48" t="s">
        <v>82</v>
      </c>
      <c r="C48" s="248">
        <v>0.025</v>
      </c>
      <c r="D48" s="285">
        <f t="shared" si="0"/>
        <v>33.56</v>
      </c>
    </row>
    <row r="49" spans="1:4">
      <c r="A49" s="240" t="s">
        <v>48</v>
      </c>
      <c r="B49" t="s">
        <v>205</v>
      </c>
      <c r="C49" s="256">
        <v>0.06</v>
      </c>
      <c r="D49" s="285">
        <f t="shared" si="0"/>
        <v>80.55</v>
      </c>
    </row>
    <row r="50" spans="1:4">
      <c r="A50" s="240" t="s">
        <v>50</v>
      </c>
      <c r="B50" t="s">
        <v>84</v>
      </c>
      <c r="C50" s="248">
        <v>0.015</v>
      </c>
      <c r="D50" s="285">
        <f t="shared" si="0"/>
        <v>20.13</v>
      </c>
    </row>
    <row r="51" spans="1:4">
      <c r="A51" s="240" t="s">
        <v>53</v>
      </c>
      <c r="B51" t="s">
        <v>85</v>
      </c>
      <c r="C51" s="248">
        <v>0.01</v>
      </c>
      <c r="D51" s="285">
        <f t="shared" si="0"/>
        <v>13.42</v>
      </c>
    </row>
    <row r="52" spans="1:4">
      <c r="A52" s="240" t="s">
        <v>55</v>
      </c>
      <c r="B52" t="s">
        <v>86</v>
      </c>
      <c r="C52" s="248">
        <v>0.006</v>
      </c>
      <c r="D52" s="285">
        <f t="shared" si="0"/>
        <v>8.05</v>
      </c>
    </row>
    <row r="53" spans="1:4">
      <c r="A53" s="240" t="s">
        <v>87</v>
      </c>
      <c r="B53" t="s">
        <v>88</v>
      </c>
      <c r="C53" s="248">
        <v>0.002</v>
      </c>
      <c r="D53" s="285">
        <f t="shared" si="0"/>
        <v>2.68</v>
      </c>
    </row>
    <row r="54" spans="1:4">
      <c r="A54" s="240" t="s">
        <v>89</v>
      </c>
      <c r="B54" t="s">
        <v>90</v>
      </c>
      <c r="C54" s="248">
        <v>0.08</v>
      </c>
      <c r="D54" s="285">
        <f t="shared" si="0"/>
        <v>107.4</v>
      </c>
    </row>
    <row r="55" spans="1:4">
      <c r="A55" s="240" t="s">
        <v>58</v>
      </c>
      <c r="C55" s="255">
        <f>SUM(C47:C54)</f>
        <v>0.398</v>
      </c>
      <c r="D55" s="246">
        <f>TRUNC((SUM(D47:D54)),2)</f>
        <v>534.29</v>
      </c>
    </row>
    <row r="56" spans="1:4">
      <c r="A56" s="240"/>
      <c r="C56" s="255"/>
      <c r="D56" s="246"/>
    </row>
    <row r="57" spans="1:4">
      <c r="A57" s="239" t="s">
        <v>95</v>
      </c>
      <c r="B57" s="239"/>
      <c r="C57" s="239"/>
      <c r="D57" s="239"/>
    </row>
    <row r="58" spans="1:4">
      <c r="A58" s="240" t="s">
        <v>96</v>
      </c>
      <c r="B58" s="244" t="s">
        <v>97</v>
      </c>
      <c r="C58" s="240" t="s">
        <v>18</v>
      </c>
      <c r="D58" s="240" t="s">
        <v>19</v>
      </c>
    </row>
    <row r="59" spans="1:4">
      <c r="A59" s="240" t="s">
        <v>42</v>
      </c>
      <c r="B59" t="s">
        <v>98</v>
      </c>
      <c r="C59" s="241"/>
      <c r="D59" s="257">
        <v>0</v>
      </c>
    </row>
    <row r="60" spans="1:4">
      <c r="A60" s="240" t="s">
        <v>45</v>
      </c>
      <c r="B60" t="s">
        <v>99</v>
      </c>
      <c r="C60" s="241" t="str">
        <f>C9</f>
        <v>CCT PB000047/2021</v>
      </c>
      <c r="D60" s="192">
        <f>TRUNC((((22*18))-(((22*18))*0.2)),2)</f>
        <v>316.8</v>
      </c>
    </row>
    <row r="61" spans="1:4">
      <c r="A61" s="240" t="s">
        <v>48</v>
      </c>
      <c r="B61" t="s">
        <v>100</v>
      </c>
      <c r="C61" s="241"/>
      <c r="D61" s="192">
        <v>0</v>
      </c>
    </row>
    <row r="62" spans="1:6">
      <c r="A62" s="258" t="s">
        <v>50</v>
      </c>
      <c r="B62" s="259" t="s">
        <v>206</v>
      </c>
      <c r="C62" s="260"/>
      <c r="D62" s="260">
        <f>TRUNC(((((($D$25+$D$26+$D$28+$D$29)/220)*1.5)*(365/12))/2),2)</f>
        <v>116.55</v>
      </c>
      <c r="F62" s="259"/>
    </row>
    <row r="63" spans="1:4">
      <c r="A63" s="240" t="s">
        <v>53</v>
      </c>
      <c r="B63" s="244" t="s">
        <v>207</v>
      </c>
      <c r="C63" s="241" t="str">
        <f>C60</f>
        <v>CCT PB000047/2021</v>
      </c>
      <c r="D63" s="192">
        <v>15</v>
      </c>
    </row>
    <row r="64" spans="1:4">
      <c r="A64" s="240" t="s">
        <v>55</v>
      </c>
      <c r="B64" s="261" t="s">
        <v>208</v>
      </c>
      <c r="C64" s="260" t="str">
        <f>C60</f>
        <v>CCT PB000047/2021</v>
      </c>
      <c r="D64" s="192">
        <v>5</v>
      </c>
    </row>
    <row r="65" spans="1:4">
      <c r="A65" s="240" t="s">
        <v>58</v>
      </c>
      <c r="D65" s="246">
        <f>TRUNC((SUM(D59:D64)),2)</f>
        <v>453.35</v>
      </c>
    </row>
    <row r="66" spans="1:4">
      <c r="A66" s="240"/>
      <c r="D66" s="246"/>
    </row>
    <row r="67" spans="1:4">
      <c r="A67" s="239" t="s">
        <v>105</v>
      </c>
      <c r="B67" s="239"/>
      <c r="C67" s="239"/>
      <c r="D67" s="239"/>
    </row>
    <row r="68" spans="1:4">
      <c r="A68" s="240" t="s">
        <v>106</v>
      </c>
      <c r="B68" s="244" t="s">
        <v>107</v>
      </c>
      <c r="C68" s="240" t="s">
        <v>18</v>
      </c>
      <c r="D68" s="240" t="s">
        <v>19</v>
      </c>
    </row>
    <row r="69" spans="1:4">
      <c r="A69" s="240" t="s">
        <v>65</v>
      </c>
      <c r="B69" t="s">
        <v>66</v>
      </c>
      <c r="C69" s="240"/>
      <c r="D69" s="246">
        <f>D39</f>
        <v>218.54</v>
      </c>
    </row>
    <row r="70" spans="1:4">
      <c r="A70" s="240" t="s">
        <v>78</v>
      </c>
      <c r="B70" t="s">
        <v>79</v>
      </c>
      <c r="C70" s="240"/>
      <c r="D70" s="246">
        <f>D55</f>
        <v>534.29</v>
      </c>
    </row>
    <row r="71" spans="1:4">
      <c r="A71" s="240" t="s">
        <v>96</v>
      </c>
      <c r="B71" t="s">
        <v>97</v>
      </c>
      <c r="C71" s="240"/>
      <c r="D71" s="246">
        <f>D65</f>
        <v>453.35</v>
      </c>
    </row>
    <row r="72" spans="1:4">
      <c r="A72" s="240" t="s">
        <v>58</v>
      </c>
      <c r="C72" s="240"/>
      <c r="D72" s="246">
        <f>TRUNC((SUM(D69:D71)),2)</f>
        <v>1206.18</v>
      </c>
    </row>
    <row r="74" spans="1:4">
      <c r="A74" s="223" t="s">
        <v>108</v>
      </c>
      <c r="B74" s="223"/>
      <c r="C74" s="223"/>
      <c r="D74" s="223"/>
    </row>
    <row r="75" spans="1:4">
      <c r="A75" s="240" t="s">
        <v>109</v>
      </c>
      <c r="B75" s="244" t="s">
        <v>110</v>
      </c>
      <c r="C75" s="240" t="s">
        <v>38</v>
      </c>
      <c r="D75" s="240" t="s">
        <v>19</v>
      </c>
    </row>
    <row r="76" spans="1:4">
      <c r="A76" s="240" t="s">
        <v>42</v>
      </c>
      <c r="B76" t="s">
        <v>111</v>
      </c>
      <c r="C76" s="256">
        <f>((1/12)*5%)</f>
        <v>0.00416666666666667</v>
      </c>
      <c r="D76" s="192">
        <f>TRUNC(($D$31*C76),2)</f>
        <v>4.68</v>
      </c>
    </row>
    <row r="77" spans="1:4">
      <c r="A77" s="240" t="s">
        <v>45</v>
      </c>
      <c r="B77" t="s">
        <v>112</v>
      </c>
      <c r="C77" s="262">
        <v>0.08</v>
      </c>
      <c r="D77" s="246">
        <f>TRUNC(($D$76*C77),2)</f>
        <v>0.37</v>
      </c>
    </row>
    <row r="78" spans="1:4">
      <c r="A78" s="240" t="s">
        <v>48</v>
      </c>
      <c r="B78" s="263" t="s">
        <v>113</v>
      </c>
      <c r="C78" s="264">
        <f>(0.08*0.4*0.05)</f>
        <v>0.0016</v>
      </c>
      <c r="D78" s="260">
        <f>TRUNC(($D$31*C78),2)</f>
        <v>1.79</v>
      </c>
    </row>
    <row r="79" spans="1:4">
      <c r="A79" s="240" t="s">
        <v>50</v>
      </c>
      <c r="B79" t="s">
        <v>114</v>
      </c>
      <c r="C79" s="265">
        <f>(((7/30)/12)*0.95)</f>
        <v>0.0184722222222222</v>
      </c>
      <c r="D79" s="266">
        <f>TRUNC(($D$31*C79),2)</f>
        <v>20.76</v>
      </c>
    </row>
    <row r="80" ht="28.8" spans="1:4">
      <c r="A80" s="240" t="s">
        <v>53</v>
      </c>
      <c r="B80" s="263" t="s">
        <v>209</v>
      </c>
      <c r="C80" s="264">
        <f>C55</f>
        <v>0.398</v>
      </c>
      <c r="D80" s="260">
        <f>TRUNC(($D$79*C80),2)</f>
        <v>8.26</v>
      </c>
    </row>
    <row r="81" spans="1:4">
      <c r="A81" s="240" t="s">
        <v>55</v>
      </c>
      <c r="B81" s="263" t="s">
        <v>115</v>
      </c>
      <c r="C81" s="264">
        <f>(0.08*0.4*0.95)</f>
        <v>0.0304</v>
      </c>
      <c r="D81" s="260">
        <f>TRUNC(($D$31*C81),2)</f>
        <v>34.16</v>
      </c>
    </row>
    <row r="82" spans="1:4">
      <c r="A82" s="240" t="s">
        <v>58</v>
      </c>
      <c r="C82" s="262">
        <f>SUM(C76:C81)</f>
        <v>0.532638888888889</v>
      </c>
      <c r="D82" s="246">
        <f>TRUNC((SUM(D76:D81)),2)</f>
        <v>70.02</v>
      </c>
    </row>
    <row r="83" ht="15.15" spans="1:4">
      <c r="A83" s="240"/>
      <c r="D83" s="246"/>
    </row>
    <row r="84" ht="15.9" spans="1:4">
      <c r="A84" s="250" t="s">
        <v>210</v>
      </c>
      <c r="B84" s="250"/>
      <c r="C84" s="251" t="s">
        <v>202</v>
      </c>
      <c r="D84" s="252">
        <f>D31</f>
        <v>1124</v>
      </c>
    </row>
    <row r="85" ht="15.9" spans="1:4">
      <c r="A85" s="250"/>
      <c r="B85" s="250"/>
      <c r="C85" s="253" t="s">
        <v>211</v>
      </c>
      <c r="D85" s="252">
        <f>D72</f>
        <v>1206.18</v>
      </c>
    </row>
    <row r="86" ht="15.9" spans="1:4">
      <c r="A86" s="250"/>
      <c r="B86" s="250"/>
      <c r="C86" s="251" t="s">
        <v>212</v>
      </c>
      <c r="D86" s="252">
        <f>D82</f>
        <v>70.02</v>
      </c>
    </row>
    <row r="87" ht="15.9" spans="1:4">
      <c r="A87" s="250"/>
      <c r="B87" s="250"/>
      <c r="C87" s="253" t="s">
        <v>204</v>
      </c>
      <c r="D87" s="254">
        <f>TRUNC((SUM(D84:D86)),2)</f>
        <v>2400.2</v>
      </c>
    </row>
    <row r="88" ht="15.15" spans="1:4">
      <c r="A88" s="240"/>
      <c r="D88" s="246"/>
    </row>
    <row r="89" spans="1:4">
      <c r="A89" s="267" t="s">
        <v>127</v>
      </c>
      <c r="B89" s="267"/>
      <c r="C89" s="267"/>
      <c r="D89" s="267"/>
    </row>
    <row r="90" spans="1:4">
      <c r="A90" s="239" t="s">
        <v>128</v>
      </c>
      <c r="B90" s="239"/>
      <c r="C90" s="239"/>
      <c r="D90" s="239"/>
    </row>
    <row r="91" spans="1:4">
      <c r="A91" s="240" t="s">
        <v>129</v>
      </c>
      <c r="B91" s="244" t="s">
        <v>130</v>
      </c>
      <c r="C91" s="240" t="s">
        <v>38</v>
      </c>
      <c r="D91" s="240" t="s">
        <v>19</v>
      </c>
    </row>
    <row r="92" spans="1:4">
      <c r="A92" s="240" t="s">
        <v>42</v>
      </c>
      <c r="B92" t="s">
        <v>213</v>
      </c>
      <c r="C92" s="262">
        <f>(((1+1/3)/12)/12)+((1/12)/12)</f>
        <v>0.0162037037037037</v>
      </c>
      <c r="D92" s="246">
        <f>TRUNC(($D$87*C92),2)</f>
        <v>38.89</v>
      </c>
    </row>
    <row r="93" spans="1:4">
      <c r="A93" s="240" t="s">
        <v>45</v>
      </c>
      <c r="B93" t="s">
        <v>133</v>
      </c>
      <c r="C93" s="256">
        <f>((2/30)/12)</f>
        <v>0.00555555555555556</v>
      </c>
      <c r="D93" s="260">
        <f>TRUNC(($D$87*C93),2)</f>
        <v>13.33</v>
      </c>
    </row>
    <row r="94" spans="1:4">
      <c r="A94" s="240" t="s">
        <v>48</v>
      </c>
      <c r="B94" t="s">
        <v>134</v>
      </c>
      <c r="C94" s="256">
        <f>((5/30)/12)*0.02</f>
        <v>0.000277777777777778</v>
      </c>
      <c r="D94" s="260">
        <f>TRUNC(($D$87*C94),2)</f>
        <v>0.66</v>
      </c>
    </row>
    <row r="95" spans="1:4">
      <c r="A95" s="258" t="s">
        <v>50</v>
      </c>
      <c r="B95" s="263" t="s">
        <v>135</v>
      </c>
      <c r="C95" s="264">
        <f>((15/30)/12)*0.08</f>
        <v>0.00333333333333333</v>
      </c>
      <c r="D95" s="260">
        <f>TRUNC(($D$87*C95),2)</f>
        <v>8</v>
      </c>
    </row>
    <row r="96" spans="1:4">
      <c r="A96" s="240" t="s">
        <v>53</v>
      </c>
      <c r="B96" t="s">
        <v>136</v>
      </c>
      <c r="C96" s="256">
        <f>((1+1/3)/12)*0.03*((4/12))</f>
        <v>0.00111111111111111</v>
      </c>
      <c r="D96" s="260">
        <f>TRUNC(($D$87*C96),2)</f>
        <v>2.66</v>
      </c>
    </row>
    <row r="97" spans="1:4">
      <c r="A97" s="240" t="s">
        <v>55</v>
      </c>
      <c r="B97" s="263" t="s">
        <v>214</v>
      </c>
      <c r="C97" s="268">
        <v>0</v>
      </c>
      <c r="D97" s="260">
        <f>TRUNC($D$87*C97)</f>
        <v>0</v>
      </c>
    </row>
    <row r="98" spans="1:4">
      <c r="A98" s="240" t="s">
        <v>58</v>
      </c>
      <c r="C98" s="262">
        <f>SUM(C92:C97)</f>
        <v>0.0264814814814815</v>
      </c>
      <c r="D98" s="246">
        <f>TRUNC((SUM(D92:D97)),2)</f>
        <v>63.54</v>
      </c>
    </row>
    <row r="99" spans="1:4">
      <c r="A99" s="240"/>
      <c r="C99" s="240"/>
      <c r="D99" s="246"/>
    </row>
    <row r="100" spans="1:4">
      <c r="A100" s="239" t="s">
        <v>144</v>
      </c>
      <c r="B100" s="239"/>
      <c r="C100" s="239"/>
      <c r="D100" s="239"/>
    </row>
    <row r="101" spans="1:4">
      <c r="A101" s="240" t="s">
        <v>145</v>
      </c>
      <c r="B101" s="244" t="s">
        <v>146</v>
      </c>
      <c r="C101" s="240" t="s">
        <v>18</v>
      </c>
      <c r="D101" s="240" t="s">
        <v>19</v>
      </c>
    </row>
    <row r="102" ht="72" spans="1:4">
      <c r="A102" s="258" t="s">
        <v>42</v>
      </c>
      <c r="B102" s="269" t="s">
        <v>147</v>
      </c>
      <c r="C102" s="202" t="s">
        <v>215</v>
      </c>
      <c r="D102" s="203" t="s">
        <v>216</v>
      </c>
    </row>
    <row r="103" spans="1:4">
      <c r="A103" s="240" t="s">
        <v>58</v>
      </c>
      <c r="C103" s="240"/>
      <c r="D103" s="204" t="str">
        <f>D102</f>
        <v>*=TRUNCAR(($D$86/220)*(1*(365/12))/2)</v>
      </c>
    </row>
    <row r="105" spans="1:4">
      <c r="A105" s="239" t="s">
        <v>148</v>
      </c>
      <c r="B105" s="239"/>
      <c r="C105" s="239"/>
      <c r="D105" s="239"/>
    </row>
    <row r="106" spans="1:4">
      <c r="A106" s="240" t="s">
        <v>149</v>
      </c>
      <c r="B106" s="244" t="s">
        <v>150</v>
      </c>
      <c r="C106" s="240" t="s">
        <v>18</v>
      </c>
      <c r="D106" s="240" t="s">
        <v>19</v>
      </c>
    </row>
    <row r="107" spans="1:4">
      <c r="A107" s="240" t="s">
        <v>129</v>
      </c>
      <c r="B107" t="s">
        <v>130</v>
      </c>
      <c r="D107" s="192">
        <f>D98</f>
        <v>63.54</v>
      </c>
    </row>
    <row r="108" spans="1:4">
      <c r="A108" s="240" t="s">
        <v>145</v>
      </c>
      <c r="B108" t="s">
        <v>151</v>
      </c>
      <c r="C108" s="244"/>
      <c r="D108" s="271" t="str">
        <f>Submódulo4.260_55[[#Totals],[Valor]]</f>
        <v>*=TRUNCAR(($D$86/220)*(1*(365/12))/2)</v>
      </c>
    </row>
    <row r="109" ht="43.2" spans="1:4">
      <c r="A109" s="258" t="s">
        <v>58</v>
      </c>
      <c r="B109" s="259"/>
      <c r="C109" s="202" t="s">
        <v>217</v>
      </c>
      <c r="D109" s="272">
        <f>TRUNC((SUM(D107:D108)),2)</f>
        <v>63.54</v>
      </c>
    </row>
    <row r="111" spans="1:4">
      <c r="A111" s="223" t="s">
        <v>152</v>
      </c>
      <c r="B111" s="223"/>
      <c r="C111" s="223"/>
      <c r="D111" s="223"/>
    </row>
    <row r="112" spans="1:4">
      <c r="A112" s="258" t="s">
        <v>153</v>
      </c>
      <c r="B112" s="259" t="s">
        <v>154</v>
      </c>
      <c r="C112" s="258" t="s">
        <v>18</v>
      </c>
      <c r="D112" s="258" t="s">
        <v>19</v>
      </c>
    </row>
    <row r="113" spans="1:4">
      <c r="A113" s="240" t="s">
        <v>42</v>
      </c>
      <c r="B113" t="s">
        <v>218</v>
      </c>
      <c r="D113" s="175">
        <f>Uniformes!G24</f>
        <v>71.61</v>
      </c>
    </row>
    <row r="114" spans="1:4">
      <c r="A114" s="240" t="s">
        <v>45</v>
      </c>
      <c r="B114" t="s">
        <v>219</v>
      </c>
      <c r="D114" s="273">
        <f>EPC!E21</f>
        <v>15.95</v>
      </c>
    </row>
    <row r="115" spans="1:4">
      <c r="A115" s="240" t="s">
        <v>48</v>
      </c>
      <c r="B115" t="s">
        <v>156</v>
      </c>
      <c r="D115" s="175">
        <f>'Materiais e Equipamentos'!G136</f>
        <v>4.75</v>
      </c>
    </row>
    <row r="116" spans="1:4">
      <c r="A116" s="240" t="s">
        <v>50</v>
      </c>
      <c r="B116" t="s">
        <v>157</v>
      </c>
      <c r="D116" s="273">
        <v>0</v>
      </c>
    </row>
    <row r="117" spans="1:4">
      <c r="A117" s="240" t="s">
        <v>53</v>
      </c>
      <c r="B117" t="s">
        <v>220</v>
      </c>
      <c r="D117" s="192">
        <f>H116</f>
        <v>0</v>
      </c>
    </row>
    <row r="118" spans="1:4">
      <c r="A118" s="240" t="s">
        <v>58</v>
      </c>
      <c r="D118" s="246">
        <f>TRUNC(SUM(D113:D117),2)</f>
        <v>92.31</v>
      </c>
    </row>
    <row r="119" ht="15.15"/>
    <row r="120" ht="15.9" spans="1:4">
      <c r="A120" s="250" t="s">
        <v>221</v>
      </c>
      <c r="B120" s="250"/>
      <c r="C120" s="251" t="s">
        <v>202</v>
      </c>
      <c r="D120" s="252">
        <f>D31</f>
        <v>1124</v>
      </c>
    </row>
    <row r="121" ht="15.9" spans="1:4">
      <c r="A121" s="250"/>
      <c r="B121" s="250"/>
      <c r="C121" s="253" t="s">
        <v>211</v>
      </c>
      <c r="D121" s="252">
        <f>D72</f>
        <v>1206.18</v>
      </c>
    </row>
    <row r="122" ht="15.9" spans="1:4">
      <c r="A122" s="250"/>
      <c r="B122" s="250"/>
      <c r="C122" s="251" t="s">
        <v>212</v>
      </c>
      <c r="D122" s="252">
        <f>D82</f>
        <v>70.02</v>
      </c>
    </row>
    <row r="123" ht="15.9" spans="1:4">
      <c r="A123" s="250"/>
      <c r="B123" s="250"/>
      <c r="C123" s="253" t="s">
        <v>222</v>
      </c>
      <c r="D123" s="252">
        <f>D109</f>
        <v>63.54</v>
      </c>
    </row>
    <row r="124" ht="15.9" spans="1:4">
      <c r="A124" s="250"/>
      <c r="B124" s="250"/>
      <c r="C124" s="251" t="s">
        <v>223</v>
      </c>
      <c r="D124" s="252">
        <f>D118</f>
        <v>92.31</v>
      </c>
    </row>
    <row r="125" ht="15.9" spans="1:4">
      <c r="A125" s="250"/>
      <c r="B125" s="250"/>
      <c r="C125" s="253" t="s">
        <v>204</v>
      </c>
      <c r="D125" s="254">
        <f>TRUNC((SUM(D120:D124)),2)</f>
        <v>2556.05</v>
      </c>
    </row>
    <row r="126" ht="15.15"/>
    <row r="127" spans="1:4">
      <c r="A127" s="223" t="s">
        <v>164</v>
      </c>
      <c r="B127" s="223"/>
      <c r="C127" s="223"/>
      <c r="D127" s="223"/>
    </row>
    <row r="128" spans="1:7">
      <c r="A128" s="240" t="s">
        <v>165</v>
      </c>
      <c r="B128" t="s">
        <v>166</v>
      </c>
      <c r="C128" s="240" t="s">
        <v>38</v>
      </c>
      <c r="D128" s="240" t="s">
        <v>19</v>
      </c>
      <c r="F128" s="274" t="s">
        <v>224</v>
      </c>
      <c r="G128" s="274"/>
    </row>
    <row r="129" ht="15.15" spans="1:7">
      <c r="A129" s="240" t="s">
        <v>42</v>
      </c>
      <c r="B129" t="s">
        <v>167</v>
      </c>
      <c r="C129" s="188">
        <v>0.044</v>
      </c>
      <c r="D129" s="175">
        <f>TRUNC(($D$125*C129),2)</f>
        <v>112.46</v>
      </c>
      <c r="F129" s="275" t="s">
        <v>225</v>
      </c>
      <c r="G129" s="264">
        <f>C131</f>
        <v>0.0865</v>
      </c>
    </row>
    <row r="130" ht="15.15" spans="1:7">
      <c r="A130" s="240" t="s">
        <v>45</v>
      </c>
      <c r="B130" t="s">
        <v>59</v>
      </c>
      <c r="C130" s="188">
        <v>0.0413</v>
      </c>
      <c r="D130" s="175">
        <f>TRUNC((C130*(D125+D129)),2)</f>
        <v>110.2</v>
      </c>
      <c r="F130" s="276" t="s">
        <v>226</v>
      </c>
      <c r="G130" s="277">
        <f>TRUNC(SUM(D125,D129,D130),2)</f>
        <v>2778.71</v>
      </c>
    </row>
    <row r="131" spans="1:7">
      <c r="A131" s="240" t="s">
        <v>48</v>
      </c>
      <c r="B131" t="s">
        <v>168</v>
      </c>
      <c r="C131" s="188">
        <f>SUM(C132:C134)</f>
        <v>0.0865</v>
      </c>
      <c r="D131" s="273">
        <f>TRUNC((SUM(D132:D134)),2)</f>
        <v>263.11</v>
      </c>
      <c r="F131" s="275" t="s">
        <v>227</v>
      </c>
      <c r="G131" s="278">
        <f>(100-8.65)/100</f>
        <v>0.9135</v>
      </c>
    </row>
    <row r="132" ht="15.15" spans="1:7">
      <c r="A132" s="240"/>
      <c r="B132" t="s">
        <v>228</v>
      </c>
      <c r="C132" s="188">
        <v>0.0065</v>
      </c>
      <c r="D132" s="273">
        <f>TRUNC(($G$132*C132),2)</f>
        <v>19.77</v>
      </c>
      <c r="F132" s="276" t="s">
        <v>224</v>
      </c>
      <c r="G132" s="277">
        <f>TRUNC((G130/G131),2)</f>
        <v>3041.82</v>
      </c>
    </row>
    <row r="133" ht="15.15" spans="1:4">
      <c r="A133" s="240"/>
      <c r="B133" t="s">
        <v>229</v>
      </c>
      <c r="C133" s="256">
        <v>0.03</v>
      </c>
      <c r="D133" s="192">
        <f>TRUNC(($G$132*C133),2)</f>
        <v>91.25</v>
      </c>
    </row>
    <row r="134" spans="1:4">
      <c r="A134" s="240"/>
      <c r="B134" t="s">
        <v>230</v>
      </c>
      <c r="C134" s="256">
        <v>0.05</v>
      </c>
      <c r="D134" s="192">
        <f>TRUNC(($G$132*C134),2)</f>
        <v>152.09</v>
      </c>
    </row>
    <row r="135" spans="1:4">
      <c r="A135" s="240" t="s">
        <v>58</v>
      </c>
      <c r="C135" s="279"/>
      <c r="D135" s="246">
        <f>TRUNC(SUM(D129:D131),2)</f>
        <v>485.77</v>
      </c>
    </row>
    <row r="136" spans="1:4">
      <c r="A136" s="240"/>
      <c r="C136" s="279"/>
      <c r="D136" s="246"/>
    </row>
    <row r="138" spans="1:4">
      <c r="A138" s="223" t="s">
        <v>172</v>
      </c>
      <c r="B138" s="223"/>
      <c r="C138" s="223"/>
      <c r="D138" s="223"/>
    </row>
    <row r="139" spans="1:4">
      <c r="A139" s="240" t="s">
        <v>16</v>
      </c>
      <c r="B139" s="240" t="s">
        <v>173</v>
      </c>
      <c r="C139" s="240" t="s">
        <v>102</v>
      </c>
      <c r="D139" s="240" t="s">
        <v>19</v>
      </c>
    </row>
    <row r="140" spans="1:4">
      <c r="A140" s="240" t="s">
        <v>42</v>
      </c>
      <c r="B140" t="s">
        <v>36</v>
      </c>
      <c r="D140" s="246">
        <f>D31</f>
        <v>1124</v>
      </c>
    </row>
    <row r="141" spans="1:4">
      <c r="A141" s="240" t="s">
        <v>45</v>
      </c>
      <c r="B141" t="s">
        <v>61</v>
      </c>
      <c r="D141" s="246">
        <f>D72</f>
        <v>1206.18</v>
      </c>
    </row>
    <row r="142" spans="1:4">
      <c r="A142" s="240" t="s">
        <v>48</v>
      </c>
      <c r="B142" t="s">
        <v>108</v>
      </c>
      <c r="D142" s="246">
        <f>D82</f>
        <v>70.02</v>
      </c>
    </row>
    <row r="143" spans="1:4">
      <c r="A143" s="240" t="s">
        <v>50</v>
      </c>
      <c r="B143" t="s">
        <v>174</v>
      </c>
      <c r="D143" s="246">
        <f>D109</f>
        <v>63.54</v>
      </c>
    </row>
    <row r="144" spans="1:4">
      <c r="A144" s="240" t="s">
        <v>53</v>
      </c>
      <c r="B144" t="s">
        <v>152</v>
      </c>
      <c r="D144" s="246">
        <f>D118</f>
        <v>92.31</v>
      </c>
    </row>
    <row r="145" spans="2:4">
      <c r="B145" s="280" t="s">
        <v>175</v>
      </c>
      <c r="D145" s="246">
        <f>TRUNC(SUM(D140:D144),2)</f>
        <v>2556.05</v>
      </c>
    </row>
    <row r="146" spans="1:4">
      <c r="A146" s="240" t="s">
        <v>55</v>
      </c>
      <c r="B146" t="s">
        <v>164</v>
      </c>
      <c r="D146" s="246">
        <f>D135</f>
        <v>485.77</v>
      </c>
    </row>
    <row r="147" spans="1:4">
      <c r="A147" s="281"/>
      <c r="B147" s="282" t="s">
        <v>231</v>
      </c>
      <c r="C147" s="281"/>
      <c r="D147" s="283">
        <f>TRUNC((SUM(D140:D144)+D146),2)</f>
        <v>3041.82</v>
      </c>
    </row>
    <row r="148" spans="1:4">
      <c r="A148" s="286"/>
      <c r="B148" s="287" t="s">
        <v>236</v>
      </c>
      <c r="C148" s="286"/>
      <c r="D148" s="288">
        <f>TRUNC(D147*2,2)</f>
        <v>6083.64</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workbookViewId="0">
      <selection activeCell="D147" sqref="A2:D147"/>
    </sheetView>
  </sheetViews>
  <sheetFormatPr defaultColWidth="9.13888888888889" defaultRowHeight="14.4" outlineLevelCol="6"/>
  <cols>
    <col min="1" max="1" width="10.5555555555556" customWidth="1"/>
    <col min="2" max="2" width="53" customWidth="1"/>
    <col min="3" max="3" width="23.6481481481481" customWidth="1"/>
    <col min="4" max="4" width="37.1111111111111" customWidth="1"/>
    <col min="6" max="6" width="22.8611111111111" customWidth="1"/>
    <col min="7" max="7" width="13.6481481481481" customWidth="1"/>
    <col min="8" max="8" width="10.9537037037037" customWidth="1"/>
    <col min="9" max="9" width="11.4259259259259" customWidth="1"/>
  </cols>
  <sheetData>
    <row r="2" ht="18.75" spans="1:4">
      <c r="A2" s="216" t="s">
        <v>177</v>
      </c>
      <c r="B2" s="216"/>
      <c r="C2" s="216"/>
      <c r="D2" s="216"/>
    </row>
    <row r="3" ht="15.15" spans="1:4">
      <c r="A3" s="217" t="s">
        <v>178</v>
      </c>
      <c r="B3" s="217"/>
      <c r="C3" s="217"/>
      <c r="D3" s="217"/>
    </row>
    <row r="4" spans="1:4">
      <c r="A4" s="218" t="s">
        <v>179</v>
      </c>
      <c r="B4" s="219" t="s">
        <v>180</v>
      </c>
      <c r="C4" s="220"/>
      <c r="D4" s="220"/>
    </row>
    <row r="5" spans="1:4">
      <c r="A5" s="221"/>
      <c r="B5" s="222"/>
      <c r="C5" s="222"/>
      <c r="D5" s="222"/>
    </row>
    <row r="6" ht="15.15" spans="1:4">
      <c r="A6" s="223" t="s">
        <v>181</v>
      </c>
      <c r="B6" s="223"/>
      <c r="C6" s="223"/>
      <c r="D6" s="223"/>
    </row>
    <row r="7" ht="15.15" spans="1:4">
      <c r="A7" s="224" t="s">
        <v>42</v>
      </c>
      <c r="B7" s="225" t="s">
        <v>182</v>
      </c>
      <c r="C7" s="226" t="s">
        <v>183</v>
      </c>
      <c r="D7" s="226"/>
    </row>
    <row r="8" spans="1:4">
      <c r="A8" s="227" t="s">
        <v>45</v>
      </c>
      <c r="B8" s="228" t="s">
        <v>184</v>
      </c>
      <c r="C8" s="229" t="s">
        <v>185</v>
      </c>
      <c r="D8" s="229"/>
    </row>
    <row r="9" spans="1:4">
      <c r="A9" s="230" t="s">
        <v>48</v>
      </c>
      <c r="B9" s="231" t="s">
        <v>186</v>
      </c>
      <c r="C9" s="229" t="s">
        <v>237</v>
      </c>
      <c r="D9" s="229"/>
    </row>
    <row r="10" spans="1:4">
      <c r="A10" s="227" t="s">
        <v>53</v>
      </c>
      <c r="B10" s="228" t="s">
        <v>188</v>
      </c>
      <c r="C10" s="229" t="s">
        <v>189</v>
      </c>
      <c r="D10" s="229"/>
    </row>
    <row r="11" ht="15.15" spans="1:4">
      <c r="A11" s="232" t="s">
        <v>190</v>
      </c>
      <c r="B11" s="232"/>
      <c r="C11" s="232"/>
      <c r="D11" s="232"/>
    </row>
    <row r="12" ht="15.9" spans="1:4">
      <c r="A12" s="233" t="s">
        <v>191</v>
      </c>
      <c r="B12" s="233"/>
      <c r="C12" s="232" t="s">
        <v>192</v>
      </c>
      <c r="D12" s="234" t="s">
        <v>193</v>
      </c>
    </row>
    <row r="13" ht="15.15" spans="1:4">
      <c r="A13" s="235" t="s">
        <v>238</v>
      </c>
      <c r="B13" s="235"/>
      <c r="C13" s="229" t="s">
        <v>195</v>
      </c>
      <c r="D13" s="236">
        <f>RESUMO!D5</f>
        <v>1</v>
      </c>
    </row>
    <row r="14" spans="1:4">
      <c r="A14" s="237"/>
      <c r="B14" s="237"/>
      <c r="C14" s="229"/>
      <c r="D14" s="238"/>
    </row>
    <row r="15" ht="15.15" spans="1:7">
      <c r="A15" s="232" t="s">
        <v>14</v>
      </c>
      <c r="B15" s="232"/>
      <c r="C15" s="232"/>
      <c r="D15" s="232"/>
      <c r="F15" s="239"/>
      <c r="G15" s="239"/>
    </row>
    <row r="16" ht="15.15" spans="1:4">
      <c r="A16" s="240" t="s">
        <v>16</v>
      </c>
      <c r="B16" t="s">
        <v>17</v>
      </c>
      <c r="C16" s="240" t="s">
        <v>18</v>
      </c>
      <c r="D16" s="240" t="s">
        <v>19</v>
      </c>
    </row>
    <row r="17" spans="1:4">
      <c r="A17" s="240">
        <v>1</v>
      </c>
      <c r="B17" t="s">
        <v>20</v>
      </c>
      <c r="C17" s="241" t="s">
        <v>102</v>
      </c>
      <c r="D17" s="241" t="str">
        <f>A13</f>
        <v>Motorista Interestadual</v>
      </c>
    </row>
    <row r="18" spans="1:4">
      <c r="A18" s="240">
        <v>2</v>
      </c>
      <c r="B18" t="s">
        <v>23</v>
      </c>
      <c r="C18" s="241" t="s">
        <v>196</v>
      </c>
      <c r="D18" s="241" t="s">
        <v>239</v>
      </c>
    </row>
    <row r="19" spans="1:4">
      <c r="A19" s="240">
        <v>3</v>
      </c>
      <c r="B19" t="s">
        <v>26</v>
      </c>
      <c r="C19" s="241" t="str">
        <f>C9</f>
        <v>CCT PB000035/2019*</v>
      </c>
      <c r="D19" s="192">
        <v>2629</v>
      </c>
    </row>
    <row r="20" spans="1:4">
      <c r="A20" s="240">
        <v>4</v>
      </c>
      <c r="B20" t="s">
        <v>29</v>
      </c>
      <c r="C20" s="241" t="str">
        <f>C9</f>
        <v>CCT PB000035/2019*</v>
      </c>
      <c r="D20" s="242" t="s">
        <v>240</v>
      </c>
    </row>
    <row r="21" spans="1:4">
      <c r="A21" s="240">
        <v>5</v>
      </c>
      <c r="B21" t="s">
        <v>33</v>
      </c>
      <c r="C21" s="241" t="str">
        <f>C9</f>
        <v>CCT PB000035/2019*</v>
      </c>
      <c r="D21" s="243" t="s">
        <v>199</v>
      </c>
    </row>
    <row r="22" spans="6:7">
      <c r="F22" s="239"/>
      <c r="G22" s="239"/>
    </row>
    <row r="23" spans="1:4">
      <c r="A23" s="223" t="s">
        <v>36</v>
      </c>
      <c r="B23" s="223"/>
      <c r="C23" s="223"/>
      <c r="D23" s="223"/>
    </row>
    <row r="24" spans="1:7">
      <c r="A24" s="240" t="s">
        <v>39</v>
      </c>
      <c r="B24" s="244" t="s">
        <v>40</v>
      </c>
      <c r="C24" s="240" t="s">
        <v>18</v>
      </c>
      <c r="D24" s="240" t="s">
        <v>19</v>
      </c>
      <c r="G24" s="245"/>
    </row>
    <row r="25" spans="1:7">
      <c r="A25" s="240" t="s">
        <v>42</v>
      </c>
      <c r="B25" t="s">
        <v>43</v>
      </c>
      <c r="C25" s="242" t="str">
        <f>C9</f>
        <v>CCT PB000035/2019*</v>
      </c>
      <c r="D25" s="192">
        <f>D19</f>
        <v>2629</v>
      </c>
      <c r="G25" s="245"/>
    </row>
    <row r="26" spans="1:7">
      <c r="A26" s="240" t="s">
        <v>45</v>
      </c>
      <c r="B26" t="s">
        <v>46</v>
      </c>
      <c r="C26" s="242"/>
      <c r="D26" s="192">
        <v>0</v>
      </c>
      <c r="G26" s="245"/>
    </row>
    <row r="27" spans="1:4">
      <c r="A27" s="240" t="s">
        <v>48</v>
      </c>
      <c r="B27" t="s">
        <v>49</v>
      </c>
      <c r="C27" s="242"/>
      <c r="D27" s="192">
        <v>0</v>
      </c>
    </row>
    <row r="28" spans="1:4">
      <c r="A28" s="240" t="s">
        <v>50</v>
      </c>
      <c r="B28" t="s">
        <v>51</v>
      </c>
      <c r="C28" s="242"/>
      <c r="D28" s="192">
        <v>0</v>
      </c>
    </row>
    <row r="29" spans="1:4">
      <c r="A29" s="240" t="s">
        <v>53</v>
      </c>
      <c r="B29" t="s">
        <v>54</v>
      </c>
      <c r="C29" s="242"/>
      <c r="D29" s="192">
        <v>0</v>
      </c>
    </row>
    <row r="30" spans="1:4">
      <c r="A30" s="240" t="s">
        <v>55</v>
      </c>
      <c r="B30" t="s">
        <v>56</v>
      </c>
      <c r="C30" s="242"/>
      <c r="D30" s="192">
        <v>0</v>
      </c>
    </row>
    <row r="31" spans="1:7">
      <c r="A31" s="240" t="s">
        <v>58</v>
      </c>
      <c r="C31" s="240"/>
      <c r="D31" s="246">
        <f>TRUNC(SUM(D25:D30),2)</f>
        <v>2629</v>
      </c>
      <c r="F31" s="239"/>
      <c r="G31" s="239"/>
    </row>
    <row r="33" spans="1:7">
      <c r="A33" s="247" t="s">
        <v>61</v>
      </c>
      <c r="B33" s="247"/>
      <c r="C33" s="247"/>
      <c r="D33" s="247"/>
      <c r="G33" s="245"/>
    </row>
    <row r="35" spans="1:4">
      <c r="A35" s="239" t="s">
        <v>63</v>
      </c>
      <c r="B35" s="239"/>
      <c r="C35" s="239"/>
      <c r="D35" s="239"/>
    </row>
    <row r="36" spans="1:4">
      <c r="A36" s="240" t="s">
        <v>65</v>
      </c>
      <c r="B36" s="244" t="s">
        <v>66</v>
      </c>
      <c r="C36" s="240" t="s">
        <v>38</v>
      </c>
      <c r="D36" s="240" t="s">
        <v>19</v>
      </c>
    </row>
    <row r="37" spans="1:7">
      <c r="A37" s="240" t="s">
        <v>42</v>
      </c>
      <c r="B37" t="s">
        <v>67</v>
      </c>
      <c r="C37" s="248">
        <f>(1/12)</f>
        <v>0.0833333333333333</v>
      </c>
      <c r="D37" s="246">
        <f>TRUNC($D$31*C37,2)</f>
        <v>219.08</v>
      </c>
      <c r="F37" s="249"/>
      <c r="G37" s="249"/>
    </row>
    <row r="38" spans="1:7">
      <c r="A38" s="240" t="s">
        <v>45</v>
      </c>
      <c r="B38" t="s">
        <v>68</v>
      </c>
      <c r="C38" s="248">
        <f>(((1+1/3)/12))</f>
        <v>0.111111111111111</v>
      </c>
      <c r="D38" s="246">
        <f>TRUNC($D$31*C38,2)</f>
        <v>292.11</v>
      </c>
      <c r="F38" s="249"/>
      <c r="G38" s="249"/>
    </row>
    <row r="39" spans="1:7">
      <c r="A39" s="240" t="s">
        <v>58</v>
      </c>
      <c r="D39" s="246">
        <f>TRUNC((SUM(D37:D38)),2)</f>
        <v>511.19</v>
      </c>
      <c r="F39" s="249"/>
      <c r="G39" s="249"/>
    </row>
    <row r="40" ht="15.15" spans="4:7">
      <c r="D40" s="246"/>
      <c r="F40" s="249"/>
      <c r="G40" s="249"/>
    </row>
    <row r="41" ht="15.9" spans="1:7">
      <c r="A41" s="250" t="s">
        <v>201</v>
      </c>
      <c r="B41" s="250"/>
      <c r="C41" s="251" t="s">
        <v>202</v>
      </c>
      <c r="D41" s="252">
        <f>D31</f>
        <v>2629</v>
      </c>
      <c r="F41" s="249"/>
      <c r="G41" s="249"/>
    </row>
    <row r="42" ht="15.9" spans="1:7">
      <c r="A42" s="250"/>
      <c r="B42" s="250"/>
      <c r="C42" s="253" t="s">
        <v>203</v>
      </c>
      <c r="D42" s="252">
        <f>D39</f>
        <v>511.19</v>
      </c>
      <c r="F42" s="249"/>
      <c r="G42" s="249"/>
    </row>
    <row r="43" ht="15.9" spans="1:7">
      <c r="A43" s="250"/>
      <c r="B43" s="250"/>
      <c r="C43" s="251" t="s">
        <v>204</v>
      </c>
      <c r="D43" s="254">
        <f>TRUNC((SUM(D41:D42)),2)</f>
        <v>3140.19</v>
      </c>
      <c r="F43" s="249"/>
      <c r="G43" s="249"/>
    </row>
    <row r="44" ht="15.15" spans="1:7">
      <c r="A44" s="240"/>
      <c r="C44" s="255"/>
      <c r="D44" s="246"/>
      <c r="F44" s="249"/>
      <c r="G44" s="249"/>
    </row>
    <row r="45" spans="1:4">
      <c r="A45" s="239" t="s">
        <v>77</v>
      </c>
      <c r="B45" s="239"/>
      <c r="C45" s="239"/>
      <c r="D45" s="239"/>
    </row>
    <row r="46" spans="1:4">
      <c r="A46" s="240" t="s">
        <v>78</v>
      </c>
      <c r="B46" s="244" t="s">
        <v>79</v>
      </c>
      <c r="C46" s="240" t="s">
        <v>38</v>
      </c>
      <c r="D46" s="240" t="s">
        <v>80</v>
      </c>
    </row>
    <row r="47" spans="1:4">
      <c r="A47" s="240" t="s">
        <v>42</v>
      </c>
      <c r="B47" t="s">
        <v>81</v>
      </c>
      <c r="C47" s="248">
        <v>0.2</v>
      </c>
      <c r="D47" s="246">
        <f t="shared" ref="D47:D54" si="0">TRUNC(($D$43*C47),2)</f>
        <v>628.03</v>
      </c>
    </row>
    <row r="48" spans="1:4">
      <c r="A48" s="240" t="s">
        <v>45</v>
      </c>
      <c r="B48" t="s">
        <v>82</v>
      </c>
      <c r="C48" s="248">
        <v>0.025</v>
      </c>
      <c r="D48" s="246">
        <f t="shared" si="0"/>
        <v>78.5</v>
      </c>
    </row>
    <row r="49" spans="1:4">
      <c r="A49" s="240" t="s">
        <v>48</v>
      </c>
      <c r="B49" t="s">
        <v>205</v>
      </c>
      <c r="C49" s="256">
        <v>0.06</v>
      </c>
      <c r="D49" s="192">
        <f t="shared" si="0"/>
        <v>188.41</v>
      </c>
    </row>
    <row r="50" spans="1:4">
      <c r="A50" s="240" t="s">
        <v>50</v>
      </c>
      <c r="B50" t="s">
        <v>84</v>
      </c>
      <c r="C50" s="248">
        <v>0.015</v>
      </c>
      <c r="D50" s="246">
        <f t="shared" si="0"/>
        <v>47.1</v>
      </c>
    </row>
    <row r="51" spans="1:4">
      <c r="A51" s="240" t="s">
        <v>53</v>
      </c>
      <c r="B51" t="s">
        <v>85</v>
      </c>
      <c r="C51" s="248">
        <v>0.01</v>
      </c>
      <c r="D51" s="246">
        <f t="shared" si="0"/>
        <v>31.4</v>
      </c>
    </row>
    <row r="52" spans="1:4">
      <c r="A52" s="240" t="s">
        <v>55</v>
      </c>
      <c r="B52" t="s">
        <v>86</v>
      </c>
      <c r="C52" s="248">
        <v>0.006</v>
      </c>
      <c r="D52" s="246">
        <f t="shared" si="0"/>
        <v>18.84</v>
      </c>
    </row>
    <row r="53" spans="1:4">
      <c r="A53" s="240" t="s">
        <v>87</v>
      </c>
      <c r="B53" t="s">
        <v>88</v>
      </c>
      <c r="C53" s="248">
        <v>0.002</v>
      </c>
      <c r="D53" s="246">
        <f t="shared" si="0"/>
        <v>6.28</v>
      </c>
    </row>
    <row r="54" spans="1:4">
      <c r="A54" s="240" t="s">
        <v>89</v>
      </c>
      <c r="B54" t="s">
        <v>90</v>
      </c>
      <c r="C54" s="248">
        <v>0.08</v>
      </c>
      <c r="D54" s="246">
        <f t="shared" si="0"/>
        <v>251.21</v>
      </c>
    </row>
    <row r="55" spans="1:4">
      <c r="A55" s="240" t="s">
        <v>58</v>
      </c>
      <c r="C55" s="255">
        <f>SUM(C47:C54)</f>
        <v>0.398</v>
      </c>
      <c r="D55" s="246">
        <f>TRUNC((SUM(D47:D54)),2)</f>
        <v>1249.77</v>
      </c>
    </row>
    <row r="56" spans="1:4">
      <c r="A56" s="240"/>
      <c r="C56" s="255"/>
      <c r="D56" s="246"/>
    </row>
    <row r="57" spans="1:4">
      <c r="A57" s="239" t="s">
        <v>95</v>
      </c>
      <c r="B57" s="239"/>
      <c r="C57" s="239"/>
      <c r="D57" s="239"/>
    </row>
    <row r="58" spans="1:4">
      <c r="A58" s="240" t="s">
        <v>96</v>
      </c>
      <c r="B58" s="244" t="s">
        <v>97</v>
      </c>
      <c r="C58" s="240" t="s">
        <v>18</v>
      </c>
      <c r="D58" s="240" t="s">
        <v>19</v>
      </c>
    </row>
    <row r="59" spans="1:4">
      <c r="A59" s="240" t="s">
        <v>42</v>
      </c>
      <c r="B59" t="s">
        <v>98</v>
      </c>
      <c r="C59" s="241"/>
      <c r="D59" s="257">
        <v>0</v>
      </c>
    </row>
    <row r="60" spans="1:4">
      <c r="A60" s="240" t="s">
        <v>45</v>
      </c>
      <c r="B60" t="s">
        <v>99</v>
      </c>
      <c r="C60" s="241" t="str">
        <f>C9</f>
        <v>CCT PB000035/2019*</v>
      </c>
      <c r="D60" s="192">
        <v>600</v>
      </c>
    </row>
    <row r="61" spans="1:4">
      <c r="A61" s="240" t="s">
        <v>48</v>
      </c>
      <c r="B61" t="s">
        <v>100</v>
      </c>
      <c r="C61" s="241"/>
      <c r="D61" s="192">
        <v>0</v>
      </c>
    </row>
    <row r="62" spans="1:6">
      <c r="A62" s="258" t="s">
        <v>50</v>
      </c>
      <c r="B62" s="259" t="s">
        <v>206</v>
      </c>
      <c r="C62" s="260"/>
      <c r="D62" s="260">
        <v>0</v>
      </c>
      <c r="F62" s="259"/>
    </row>
    <row r="63" spans="1:4">
      <c r="A63" s="240" t="s">
        <v>53</v>
      </c>
      <c r="B63" s="244" t="s">
        <v>207</v>
      </c>
      <c r="C63" s="241"/>
      <c r="D63" s="192">
        <v>0</v>
      </c>
    </row>
    <row r="64" spans="1:4">
      <c r="A64" s="240" t="s">
        <v>55</v>
      </c>
      <c r="B64" s="261" t="s">
        <v>208</v>
      </c>
      <c r="C64" s="260"/>
      <c r="D64" s="192">
        <v>0</v>
      </c>
    </row>
    <row r="65" spans="1:4">
      <c r="A65" s="240" t="s">
        <v>58</v>
      </c>
      <c r="D65" s="246">
        <f>TRUNC((SUM(D59:D64)),2)</f>
        <v>600</v>
      </c>
    </row>
    <row r="66" spans="1:4">
      <c r="A66" s="240"/>
      <c r="D66" s="246"/>
    </row>
    <row r="67" spans="1:4">
      <c r="A67" s="239" t="s">
        <v>105</v>
      </c>
      <c r="B67" s="239"/>
      <c r="C67" s="239"/>
      <c r="D67" s="239"/>
    </row>
    <row r="68" spans="1:4">
      <c r="A68" s="240" t="s">
        <v>106</v>
      </c>
      <c r="B68" s="244" t="s">
        <v>107</v>
      </c>
      <c r="C68" s="240" t="s">
        <v>18</v>
      </c>
      <c r="D68" s="240" t="s">
        <v>19</v>
      </c>
    </row>
    <row r="69" spans="1:4">
      <c r="A69" s="240" t="s">
        <v>65</v>
      </c>
      <c r="B69" t="s">
        <v>66</v>
      </c>
      <c r="C69" s="240"/>
      <c r="D69" s="246">
        <f>D39</f>
        <v>511.19</v>
      </c>
    </row>
    <row r="70" spans="1:4">
      <c r="A70" s="240" t="s">
        <v>78</v>
      </c>
      <c r="B70" t="s">
        <v>79</v>
      </c>
      <c r="C70" s="240"/>
      <c r="D70" s="246">
        <f>D55</f>
        <v>1249.77</v>
      </c>
    </row>
    <row r="71" spans="1:4">
      <c r="A71" s="240" t="s">
        <v>96</v>
      </c>
      <c r="B71" t="s">
        <v>97</v>
      </c>
      <c r="C71" s="240"/>
      <c r="D71" s="246">
        <f>D65</f>
        <v>600</v>
      </c>
    </row>
    <row r="72" spans="1:4">
      <c r="A72" s="240" t="s">
        <v>58</v>
      </c>
      <c r="C72" s="240"/>
      <c r="D72" s="246">
        <f>TRUNC(SUM(D69:D71),2)</f>
        <v>2360.96</v>
      </c>
    </row>
    <row r="74" spans="1:4">
      <c r="A74" s="223" t="s">
        <v>108</v>
      </c>
      <c r="B74" s="223"/>
      <c r="C74" s="223"/>
      <c r="D74" s="223"/>
    </row>
    <row r="75" spans="1:4">
      <c r="A75" s="240" t="s">
        <v>109</v>
      </c>
      <c r="B75" s="244" t="s">
        <v>110</v>
      </c>
      <c r="C75" s="240" t="s">
        <v>38</v>
      </c>
      <c r="D75" s="240" t="s">
        <v>19</v>
      </c>
    </row>
    <row r="76" spans="1:4">
      <c r="A76" s="240" t="s">
        <v>42</v>
      </c>
      <c r="B76" t="s">
        <v>111</v>
      </c>
      <c r="C76" s="256">
        <f>((1/12)*5%)</f>
        <v>0.00416666666666667</v>
      </c>
      <c r="D76" s="192">
        <f>TRUNC(($D$31*C76),2)</f>
        <v>10.95</v>
      </c>
    </row>
    <row r="77" spans="1:4">
      <c r="A77" s="240" t="s">
        <v>45</v>
      </c>
      <c r="B77" t="s">
        <v>112</v>
      </c>
      <c r="C77" s="262">
        <v>0.08</v>
      </c>
      <c r="D77" s="246">
        <f>TRUNC(($D$76*C77),2)</f>
        <v>0.87</v>
      </c>
    </row>
    <row r="78" spans="1:4">
      <c r="A78" s="240" t="s">
        <v>48</v>
      </c>
      <c r="B78" s="263" t="s">
        <v>113</v>
      </c>
      <c r="C78" s="264">
        <f>(0.08*0.4*0.05)</f>
        <v>0.0016</v>
      </c>
      <c r="D78" s="260">
        <f>TRUNC(($D$31*C78),2)</f>
        <v>4.2</v>
      </c>
    </row>
    <row r="79" spans="1:4">
      <c r="A79" s="240" t="s">
        <v>50</v>
      </c>
      <c r="B79" t="s">
        <v>114</v>
      </c>
      <c r="C79" s="265">
        <f>(((7/30)/12)*0.95)</f>
        <v>0.0184722222222222</v>
      </c>
      <c r="D79" s="266">
        <f>TRUNC(($D$31*C79),2)</f>
        <v>48.56</v>
      </c>
    </row>
    <row r="80" spans="1:4">
      <c r="A80" s="240" t="s">
        <v>53</v>
      </c>
      <c r="B80" s="263" t="s">
        <v>209</v>
      </c>
      <c r="C80" s="264">
        <f>C55</f>
        <v>0.398</v>
      </c>
      <c r="D80" s="260">
        <f>TRUNC(($D$79*C80),2)</f>
        <v>19.32</v>
      </c>
    </row>
    <row r="81" spans="1:4">
      <c r="A81" s="240" t="s">
        <v>55</v>
      </c>
      <c r="B81" s="263" t="s">
        <v>115</v>
      </c>
      <c r="C81" s="264">
        <f>(0.08*0.4*0.95)</f>
        <v>0.0304</v>
      </c>
      <c r="D81" s="260">
        <f>TRUNC(($D$31*C81),2)</f>
        <v>79.92</v>
      </c>
    </row>
    <row r="82" spans="1:4">
      <c r="A82" s="240" t="s">
        <v>58</v>
      </c>
      <c r="C82" s="262">
        <f>SUM(C76:C81)</f>
        <v>0.532638888888889</v>
      </c>
      <c r="D82" s="246">
        <f>TRUNC((SUM(D76:D81)),2)</f>
        <v>163.82</v>
      </c>
    </row>
    <row r="83" ht="15.15" spans="1:4">
      <c r="A83" s="240"/>
      <c r="D83" s="246"/>
    </row>
    <row r="84" ht="15.9" spans="1:4">
      <c r="A84" s="250" t="s">
        <v>210</v>
      </c>
      <c r="B84" s="250"/>
      <c r="C84" s="251" t="s">
        <v>202</v>
      </c>
      <c r="D84" s="252">
        <f>D31</f>
        <v>2629</v>
      </c>
    </row>
    <row r="85" ht="15.9" spans="1:4">
      <c r="A85" s="250"/>
      <c r="B85" s="250"/>
      <c r="C85" s="253" t="s">
        <v>211</v>
      </c>
      <c r="D85" s="252">
        <f>D72</f>
        <v>2360.96</v>
      </c>
    </row>
    <row r="86" ht="15.9" spans="1:4">
      <c r="A86" s="250"/>
      <c r="B86" s="250"/>
      <c r="C86" s="251" t="s">
        <v>212</v>
      </c>
      <c r="D86" s="252">
        <f>D82</f>
        <v>163.82</v>
      </c>
    </row>
    <row r="87" ht="15.9" spans="1:4">
      <c r="A87" s="250"/>
      <c r="B87" s="250"/>
      <c r="C87" s="253" t="s">
        <v>204</v>
      </c>
      <c r="D87" s="254">
        <f>TRUNC((SUM(D84:D86)),2)</f>
        <v>5153.78</v>
      </c>
    </row>
    <row r="88" ht="15.15" spans="1:4">
      <c r="A88" s="240"/>
      <c r="D88" s="246"/>
    </row>
    <row r="89" spans="1:4">
      <c r="A89" s="267" t="s">
        <v>127</v>
      </c>
      <c r="B89" s="267"/>
      <c r="C89" s="267"/>
      <c r="D89" s="267"/>
    </row>
    <row r="90" spans="1:4">
      <c r="A90" s="239" t="s">
        <v>128</v>
      </c>
      <c r="B90" s="239"/>
      <c r="C90" s="239"/>
      <c r="D90" s="239"/>
    </row>
    <row r="91" spans="1:4">
      <c r="A91" s="240" t="s">
        <v>129</v>
      </c>
      <c r="B91" s="244" t="s">
        <v>130</v>
      </c>
      <c r="C91" s="240" t="s">
        <v>38</v>
      </c>
      <c r="D91" s="240" t="s">
        <v>19</v>
      </c>
    </row>
    <row r="92" spans="1:4">
      <c r="A92" s="240" t="s">
        <v>42</v>
      </c>
      <c r="B92" t="s">
        <v>213</v>
      </c>
      <c r="C92" s="262">
        <f>(((1+1/3)/12)/12)+((1/12)/12)</f>
        <v>0.0162037037037037</v>
      </c>
      <c r="D92" s="246">
        <f>TRUNC(($D$87*C92),2)</f>
        <v>83.51</v>
      </c>
    </row>
    <row r="93" spans="1:4">
      <c r="A93" s="240" t="s">
        <v>45</v>
      </c>
      <c r="B93" t="s">
        <v>133</v>
      </c>
      <c r="C93" s="256">
        <f>((2/30)/12)</f>
        <v>0.00555555555555556</v>
      </c>
      <c r="D93" s="260">
        <f t="shared" ref="D92:D96" si="1">TRUNC(($D$87*C93),2)</f>
        <v>28.63</v>
      </c>
    </row>
    <row r="94" spans="1:4">
      <c r="A94" s="240" t="s">
        <v>48</v>
      </c>
      <c r="B94" t="s">
        <v>134</v>
      </c>
      <c r="C94" s="256">
        <f>((5/30)/12)*0.02</f>
        <v>0.000277777777777778</v>
      </c>
      <c r="D94" s="260">
        <f t="shared" si="1"/>
        <v>1.43</v>
      </c>
    </row>
    <row r="95" spans="1:4">
      <c r="A95" s="258" t="s">
        <v>50</v>
      </c>
      <c r="B95" s="263" t="s">
        <v>135</v>
      </c>
      <c r="C95" s="264">
        <f>((15/30)/12)*0.08</f>
        <v>0.00333333333333333</v>
      </c>
      <c r="D95" s="260">
        <f t="shared" si="1"/>
        <v>17.17</v>
      </c>
    </row>
    <row r="96" spans="1:4">
      <c r="A96" s="240" t="s">
        <v>53</v>
      </c>
      <c r="B96" t="s">
        <v>136</v>
      </c>
      <c r="C96" s="256">
        <f>((1+1/3)/12)*0.03*((4/12))</f>
        <v>0.00111111111111111</v>
      </c>
      <c r="D96" s="260">
        <f t="shared" si="1"/>
        <v>5.72</v>
      </c>
    </row>
    <row r="97" spans="1:4">
      <c r="A97" s="240" t="s">
        <v>55</v>
      </c>
      <c r="B97" s="263" t="s">
        <v>214</v>
      </c>
      <c r="C97" s="268">
        <v>0</v>
      </c>
      <c r="D97" s="260">
        <f>TRUNC($D$87*C97)</f>
        <v>0</v>
      </c>
    </row>
    <row r="98" spans="1:4">
      <c r="A98" s="240" t="s">
        <v>58</v>
      </c>
      <c r="C98" s="262">
        <f>SUM(C92:C97)</f>
        <v>0.0264814814814815</v>
      </c>
      <c r="D98" s="246">
        <f>TRUNC((SUM(D92:D97)),2)</f>
        <v>136.46</v>
      </c>
    </row>
    <row r="99" spans="1:4">
      <c r="A99" s="240"/>
      <c r="C99" s="240"/>
      <c r="D99" s="246"/>
    </row>
    <row r="100" spans="1:4">
      <c r="A100" s="239" t="s">
        <v>144</v>
      </c>
      <c r="B100" s="239"/>
      <c r="C100" s="239"/>
      <c r="D100" s="239"/>
    </row>
    <row r="101" spans="1:4">
      <c r="A101" s="240" t="s">
        <v>145</v>
      </c>
      <c r="B101" s="244" t="s">
        <v>146</v>
      </c>
      <c r="C101" s="240" t="s">
        <v>18</v>
      </c>
      <c r="D101" s="240" t="s">
        <v>19</v>
      </c>
    </row>
    <row r="102" ht="86.4" spans="1:4">
      <c r="A102" s="258" t="s">
        <v>42</v>
      </c>
      <c r="B102" s="269" t="s">
        <v>147</v>
      </c>
      <c r="C102" s="202" t="s">
        <v>215</v>
      </c>
      <c r="D102" s="203" t="s">
        <v>216</v>
      </c>
    </row>
    <row r="103" spans="1:4">
      <c r="A103" s="240" t="s">
        <v>58</v>
      </c>
      <c r="C103" s="270"/>
      <c r="D103" s="204" t="str">
        <f>D102</f>
        <v>*=TRUNCAR(($D$86/220)*(1*(365/12))/2)</v>
      </c>
    </row>
    <row r="105" spans="1:4">
      <c r="A105" s="239" t="s">
        <v>148</v>
      </c>
      <c r="B105" s="239"/>
      <c r="C105" s="239"/>
      <c r="D105" s="239"/>
    </row>
    <row r="106" spans="1:4">
      <c r="A106" s="240" t="s">
        <v>149</v>
      </c>
      <c r="B106" s="244" t="s">
        <v>150</v>
      </c>
      <c r="C106" s="240" t="s">
        <v>18</v>
      </c>
      <c r="D106" s="240" t="s">
        <v>19</v>
      </c>
    </row>
    <row r="107" spans="1:4">
      <c r="A107" s="240" t="s">
        <v>129</v>
      </c>
      <c r="B107" t="s">
        <v>130</v>
      </c>
      <c r="D107" s="192">
        <f>D98</f>
        <v>136.46</v>
      </c>
    </row>
    <row r="108" spans="1:4">
      <c r="A108" s="240" t="s">
        <v>145</v>
      </c>
      <c r="B108" t="s">
        <v>151</v>
      </c>
      <c r="C108" s="244"/>
      <c r="D108" s="271" t="str">
        <f>Submódulo4.260_81[[#Totals],[Valor]]</f>
        <v>*=TRUNCAR(($D$86/220)*(1*(365/12))/2)</v>
      </c>
    </row>
    <row r="109" ht="72" spans="1:4">
      <c r="A109" s="258" t="s">
        <v>58</v>
      </c>
      <c r="B109" s="259"/>
      <c r="C109" s="202" t="s">
        <v>217</v>
      </c>
      <c r="D109" s="272">
        <f>TRUNC((SUM(D107:D108)),2)</f>
        <v>136.46</v>
      </c>
    </row>
    <row r="111" spans="1:4">
      <c r="A111" s="223" t="s">
        <v>152</v>
      </c>
      <c r="B111" s="223"/>
      <c r="C111" s="223"/>
      <c r="D111" s="223"/>
    </row>
    <row r="112" spans="1:4">
      <c r="A112" s="240" t="s">
        <v>153</v>
      </c>
      <c r="B112" s="244" t="s">
        <v>154</v>
      </c>
      <c r="C112" s="240" t="s">
        <v>18</v>
      </c>
      <c r="D112" s="240" t="s">
        <v>19</v>
      </c>
    </row>
    <row r="113" spans="1:4">
      <c r="A113" s="240" t="s">
        <v>42</v>
      </c>
      <c r="B113" t="s">
        <v>218</v>
      </c>
      <c r="D113" s="175">
        <f>Uniformes!G37</f>
        <v>72.13</v>
      </c>
    </row>
    <row r="114" spans="1:4">
      <c r="A114" s="240" t="s">
        <v>45</v>
      </c>
      <c r="B114" t="s">
        <v>219</v>
      </c>
      <c r="D114" s="273">
        <f>EPC!E21</f>
        <v>15.95</v>
      </c>
    </row>
    <row r="115" spans="1:4">
      <c r="A115" s="240" t="s">
        <v>48</v>
      </c>
      <c r="B115" t="s">
        <v>156</v>
      </c>
      <c r="D115" s="192">
        <v>0</v>
      </c>
    </row>
    <row r="116" spans="1:4">
      <c r="A116" s="240" t="s">
        <v>50</v>
      </c>
      <c r="B116" t="s">
        <v>157</v>
      </c>
      <c r="D116" s="192">
        <v>0</v>
      </c>
    </row>
    <row r="117" spans="1:4">
      <c r="A117" s="240" t="s">
        <v>53</v>
      </c>
      <c r="B117" t="s">
        <v>220</v>
      </c>
      <c r="D117" s="192">
        <f>H116</f>
        <v>0</v>
      </c>
    </row>
    <row r="118" spans="1:4">
      <c r="A118" s="240" t="s">
        <v>58</v>
      </c>
      <c r="D118" s="246">
        <f>SUBTOTAL(109,Módulo562_84[Valor])</f>
        <v>88.08</v>
      </c>
    </row>
    <row r="119" ht="15.15"/>
    <row r="120" ht="15.9" spans="1:4">
      <c r="A120" s="250" t="s">
        <v>221</v>
      </c>
      <c r="B120" s="250"/>
      <c r="C120" s="251" t="s">
        <v>202</v>
      </c>
      <c r="D120" s="252">
        <f>D31</f>
        <v>2629</v>
      </c>
    </row>
    <row r="121" ht="15.9" spans="1:4">
      <c r="A121" s="250"/>
      <c r="B121" s="250"/>
      <c r="C121" s="253" t="s">
        <v>211</v>
      </c>
      <c r="D121" s="252">
        <f>D72</f>
        <v>2360.96</v>
      </c>
    </row>
    <row r="122" ht="15.9" spans="1:4">
      <c r="A122" s="250"/>
      <c r="B122" s="250"/>
      <c r="C122" s="251" t="s">
        <v>212</v>
      </c>
      <c r="D122" s="252">
        <f>D82</f>
        <v>163.82</v>
      </c>
    </row>
    <row r="123" ht="15.9" spans="1:4">
      <c r="A123" s="250"/>
      <c r="B123" s="250"/>
      <c r="C123" s="253" t="s">
        <v>222</v>
      </c>
      <c r="D123" s="252">
        <f>D109</f>
        <v>136.46</v>
      </c>
    </row>
    <row r="124" ht="15.9" spans="1:4">
      <c r="A124" s="250"/>
      <c r="B124" s="250"/>
      <c r="C124" s="251" t="s">
        <v>223</v>
      </c>
      <c r="D124" s="252">
        <f>D118</f>
        <v>88.08</v>
      </c>
    </row>
    <row r="125" ht="15.9" spans="1:4">
      <c r="A125" s="250"/>
      <c r="B125" s="250"/>
      <c r="C125" s="253" t="s">
        <v>204</v>
      </c>
      <c r="D125" s="254">
        <f>TRUNC((SUM(D120:D124)),2)</f>
        <v>5378.32</v>
      </c>
    </row>
    <row r="126" ht="15.15"/>
    <row r="127" spans="1:4">
      <c r="A127" s="223" t="s">
        <v>164</v>
      </c>
      <c r="B127" s="223"/>
      <c r="C127" s="223"/>
      <c r="D127" s="223"/>
    </row>
    <row r="128" spans="1:7">
      <c r="A128" s="240" t="s">
        <v>165</v>
      </c>
      <c r="B128" t="s">
        <v>166</v>
      </c>
      <c r="C128" s="240" t="s">
        <v>38</v>
      </c>
      <c r="D128" s="240" t="s">
        <v>19</v>
      </c>
      <c r="F128" s="274" t="s">
        <v>224</v>
      </c>
      <c r="G128" s="274"/>
    </row>
    <row r="129" ht="15.15" spans="1:7">
      <c r="A129" s="240" t="s">
        <v>42</v>
      </c>
      <c r="B129" t="s">
        <v>167</v>
      </c>
      <c r="C129" s="188">
        <v>0.044</v>
      </c>
      <c r="D129" s="175">
        <f>TRUNC(($D$125*C129),2)</f>
        <v>236.64</v>
      </c>
      <c r="F129" s="275" t="s">
        <v>225</v>
      </c>
      <c r="G129" s="264">
        <f>C131</f>
        <v>0.0865</v>
      </c>
    </row>
    <row r="130" ht="15.15" spans="1:7">
      <c r="A130" s="240" t="s">
        <v>45</v>
      </c>
      <c r="B130" t="s">
        <v>59</v>
      </c>
      <c r="C130" s="188">
        <v>0.0413</v>
      </c>
      <c r="D130" s="175">
        <f>TRUNC((C130*(D125+D129)),2)</f>
        <v>231.89</v>
      </c>
      <c r="F130" s="276" t="s">
        <v>226</v>
      </c>
      <c r="G130" s="277">
        <f>TRUNC(SUM(D125,D129,D130),2)</f>
        <v>5846.85</v>
      </c>
    </row>
    <row r="131" spans="1:7">
      <c r="A131" s="240" t="s">
        <v>48</v>
      </c>
      <c r="B131" t="s">
        <v>168</v>
      </c>
      <c r="C131" s="188">
        <f>SUM(C132:C134)</f>
        <v>0.0865</v>
      </c>
      <c r="D131" s="273">
        <f>TRUNC((SUM(D132:D134)),2)</f>
        <v>553.63</v>
      </c>
      <c r="F131" s="275" t="s">
        <v>227</v>
      </c>
      <c r="G131" s="278">
        <f>(100-8.65)/100</f>
        <v>0.9135</v>
      </c>
    </row>
    <row r="132" ht="15.15" spans="1:7">
      <c r="A132" s="240"/>
      <c r="B132" t="s">
        <v>228</v>
      </c>
      <c r="C132" s="256">
        <v>0.0065</v>
      </c>
      <c r="D132" s="192">
        <f>TRUNC(($G$132*C132),2)</f>
        <v>41.6</v>
      </c>
      <c r="F132" s="276" t="s">
        <v>224</v>
      </c>
      <c r="G132" s="277">
        <f>TRUNC((G130/G131),2)</f>
        <v>6400.49</v>
      </c>
    </row>
    <row r="133" ht="15.15" spans="1:4">
      <c r="A133" s="240"/>
      <c r="B133" t="s">
        <v>229</v>
      </c>
      <c r="C133" s="256">
        <v>0.03</v>
      </c>
      <c r="D133" s="192">
        <f>TRUNC(($G$132*C133),2)</f>
        <v>192.01</v>
      </c>
    </row>
    <row r="134" spans="1:4">
      <c r="A134" s="240"/>
      <c r="B134" t="s">
        <v>230</v>
      </c>
      <c r="C134" s="256">
        <v>0.05</v>
      </c>
      <c r="D134" s="192">
        <f t="shared" ref="D132:D134" si="2">TRUNC(($G$132*C134),2)</f>
        <v>320.02</v>
      </c>
    </row>
    <row r="135" spans="1:4">
      <c r="A135" s="240" t="s">
        <v>58</v>
      </c>
      <c r="C135" s="279"/>
      <c r="D135" s="246">
        <f>TRUNC(SUM(D129:D131),2)</f>
        <v>1022.16</v>
      </c>
    </row>
    <row r="136" spans="1:4">
      <c r="A136" s="240"/>
      <c r="C136" s="279"/>
      <c r="D136" s="246"/>
    </row>
    <row r="138" spans="1:4">
      <c r="A138" s="223" t="s">
        <v>172</v>
      </c>
      <c r="B138" s="223"/>
      <c r="C138" s="223"/>
      <c r="D138" s="223"/>
    </row>
    <row r="139" spans="1:4">
      <c r="A139" s="240" t="s">
        <v>16</v>
      </c>
      <c r="B139" s="240" t="s">
        <v>173</v>
      </c>
      <c r="C139" s="240" t="s">
        <v>102</v>
      </c>
      <c r="D139" s="240" t="s">
        <v>19</v>
      </c>
    </row>
    <row r="140" spans="1:4">
      <c r="A140" s="240" t="s">
        <v>42</v>
      </c>
      <c r="B140" t="s">
        <v>36</v>
      </c>
      <c r="D140" s="246">
        <f>D31</f>
        <v>2629</v>
      </c>
    </row>
    <row r="141" spans="1:4">
      <c r="A141" s="240" t="s">
        <v>45</v>
      </c>
      <c r="B141" t="s">
        <v>61</v>
      </c>
      <c r="D141" s="246">
        <f>D72</f>
        <v>2360.96</v>
      </c>
    </row>
    <row r="142" spans="1:4">
      <c r="A142" s="240" t="s">
        <v>48</v>
      </c>
      <c r="B142" t="s">
        <v>108</v>
      </c>
      <c r="D142" s="246">
        <f>D82</f>
        <v>163.82</v>
      </c>
    </row>
    <row r="143" spans="1:4">
      <c r="A143" s="240" t="s">
        <v>50</v>
      </c>
      <c r="B143" t="s">
        <v>174</v>
      </c>
      <c r="D143" s="246">
        <f>D109</f>
        <v>136.46</v>
      </c>
    </row>
    <row r="144" spans="1:4">
      <c r="A144" s="240" t="s">
        <v>53</v>
      </c>
      <c r="B144" t="s">
        <v>152</v>
      </c>
      <c r="D144" s="246">
        <f>D118</f>
        <v>88.08</v>
      </c>
    </row>
    <row r="145" spans="2:4">
      <c r="B145" s="280" t="s">
        <v>175</v>
      </c>
      <c r="D145" s="246">
        <f>TRUNC(SUM(D140:D144),2)</f>
        <v>5378.32</v>
      </c>
    </row>
    <row r="146" spans="1:4">
      <c r="A146" s="240" t="s">
        <v>55</v>
      </c>
      <c r="B146" t="s">
        <v>164</v>
      </c>
      <c r="D146" s="246">
        <f>D135</f>
        <v>1022.16</v>
      </c>
    </row>
    <row r="147" spans="1:4">
      <c r="A147" s="281"/>
      <c r="B147" s="282" t="s">
        <v>231</v>
      </c>
      <c r="C147" s="281"/>
      <c r="D147" s="283">
        <f>TRUNC((SUM(D140:D144)+D146),2)</f>
        <v>6400.48</v>
      </c>
    </row>
    <row r="149" spans="1:1">
      <c r="A149" t="s">
        <v>241</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1"/>
  <sheetViews>
    <sheetView zoomScale="90" zoomScaleNormal="90" workbookViewId="0">
      <selection activeCell="D147" sqref="A2:D147"/>
    </sheetView>
  </sheetViews>
  <sheetFormatPr defaultColWidth="9.13888888888889" defaultRowHeight="14.4"/>
  <cols>
    <col min="1" max="1" width="10.7407407407407" customWidth="1"/>
    <col min="2" max="2" width="52.712962962963" customWidth="1"/>
    <col min="3" max="3" width="32.8240740740741" customWidth="1"/>
    <col min="4" max="4" width="31.8425925925926" customWidth="1"/>
    <col min="6" max="6" width="22.8611111111111" customWidth="1"/>
    <col min="7" max="7" width="12.8611111111111" customWidth="1"/>
    <col min="8" max="8" width="10" customWidth="1"/>
    <col min="9" max="9" width="11.4259259259259" customWidth="1"/>
  </cols>
  <sheetData>
    <row r="1" spans="1:9">
      <c r="A1" s="148"/>
      <c r="B1" s="148"/>
      <c r="C1" s="148"/>
      <c r="D1" s="148"/>
      <c r="E1" s="148"/>
      <c r="F1" s="148"/>
      <c r="G1" s="148"/>
      <c r="H1" s="87"/>
      <c r="I1" s="87"/>
    </row>
    <row r="2" ht="18.75" spans="1:9">
      <c r="A2" s="149" t="s">
        <v>177</v>
      </c>
      <c r="B2" s="149"/>
      <c r="C2" s="149"/>
      <c r="D2" s="149"/>
      <c r="E2" s="148"/>
      <c r="F2" s="148"/>
      <c r="G2" s="148"/>
      <c r="H2" s="87"/>
      <c r="I2" s="87"/>
    </row>
    <row r="3" ht="15.15" spans="1:7">
      <c r="A3" s="150" t="s">
        <v>242</v>
      </c>
      <c r="B3" s="150"/>
      <c r="C3" s="150"/>
      <c r="D3" s="150"/>
      <c r="E3" s="148"/>
      <c r="F3" s="148"/>
      <c r="G3" s="148"/>
    </row>
    <row r="4" spans="1:7">
      <c r="A4" s="151" t="s">
        <v>179</v>
      </c>
      <c r="B4" s="152" t="s">
        <v>180</v>
      </c>
      <c r="C4" s="153"/>
      <c r="D4" s="153"/>
      <c r="E4" s="148"/>
      <c r="F4" s="148"/>
      <c r="G4" s="148"/>
    </row>
    <row r="5" spans="1:7">
      <c r="A5" s="154"/>
      <c r="B5" s="155"/>
      <c r="C5" s="155"/>
      <c r="D5" s="155"/>
      <c r="E5" s="148"/>
      <c r="F5" s="148"/>
      <c r="G5" s="148"/>
    </row>
    <row r="6" ht="15.15" spans="1:7">
      <c r="A6" s="156" t="s">
        <v>181</v>
      </c>
      <c r="B6" s="156"/>
      <c r="C6" s="156"/>
      <c r="D6" s="156"/>
      <c r="E6" s="148"/>
      <c r="F6" s="148"/>
      <c r="G6" s="148"/>
    </row>
    <row r="7" ht="15.15" spans="1:7">
      <c r="A7" s="157" t="s">
        <v>42</v>
      </c>
      <c r="B7" s="158" t="s">
        <v>182</v>
      </c>
      <c r="C7" s="159" t="s">
        <v>183</v>
      </c>
      <c r="D7" s="159"/>
      <c r="E7" s="148"/>
      <c r="F7" s="148"/>
      <c r="G7" s="148"/>
    </row>
    <row r="8" spans="1:7">
      <c r="A8" s="160" t="s">
        <v>45</v>
      </c>
      <c r="B8" s="161" t="s">
        <v>184</v>
      </c>
      <c r="C8" s="162" t="s">
        <v>185</v>
      </c>
      <c r="D8" s="162"/>
      <c r="E8" s="148"/>
      <c r="F8" s="148"/>
      <c r="G8" s="148"/>
    </row>
    <row r="9" spans="1:7">
      <c r="A9" s="163" t="s">
        <v>48</v>
      </c>
      <c r="B9" s="164" t="s">
        <v>186</v>
      </c>
      <c r="C9" s="162" t="s">
        <v>243</v>
      </c>
      <c r="D9" s="162"/>
      <c r="E9" s="148"/>
      <c r="F9" s="148"/>
      <c r="G9" s="148"/>
    </row>
    <row r="10" spans="1:7">
      <c r="A10" s="160" t="s">
        <v>53</v>
      </c>
      <c r="B10" s="161" t="s">
        <v>188</v>
      </c>
      <c r="C10" s="162" t="s">
        <v>189</v>
      </c>
      <c r="D10" s="162"/>
      <c r="E10" s="148"/>
      <c r="F10" s="148"/>
      <c r="G10" s="148"/>
    </row>
    <row r="11" ht="15.15" spans="1:7">
      <c r="A11" s="165" t="s">
        <v>190</v>
      </c>
      <c r="B11" s="165"/>
      <c r="C11" s="165"/>
      <c r="D11" s="165"/>
      <c r="E11" s="148"/>
      <c r="F11" s="148"/>
      <c r="G11" s="148"/>
    </row>
    <row r="12" ht="15.9" spans="1:7">
      <c r="A12" s="166" t="s">
        <v>191</v>
      </c>
      <c r="B12" s="166"/>
      <c r="C12" s="165" t="s">
        <v>192</v>
      </c>
      <c r="D12" s="167" t="s">
        <v>193</v>
      </c>
      <c r="E12" s="148"/>
      <c r="F12" s="148"/>
      <c r="G12" s="148"/>
    </row>
    <row r="13" ht="15.15" spans="1:7">
      <c r="A13" s="168" t="s">
        <v>244</v>
      </c>
      <c r="B13" s="168"/>
      <c r="C13" s="162" t="s">
        <v>195</v>
      </c>
      <c r="D13" s="169">
        <f>RESUMO!D6</f>
        <v>1</v>
      </c>
      <c r="E13" s="148"/>
      <c r="F13" s="148"/>
      <c r="G13" s="148"/>
    </row>
    <row r="14" spans="1:7">
      <c r="A14" s="170"/>
      <c r="B14" s="170"/>
      <c r="C14" s="162"/>
      <c r="D14" s="171"/>
      <c r="E14" s="148"/>
      <c r="F14" s="148"/>
      <c r="G14" s="148"/>
    </row>
    <row r="15" ht="15.15" spans="1:7">
      <c r="A15" s="165" t="s">
        <v>14</v>
      </c>
      <c r="B15" s="165"/>
      <c r="C15" s="165"/>
      <c r="D15" s="165"/>
      <c r="E15" s="148"/>
      <c r="F15" s="172"/>
      <c r="G15" s="172"/>
    </row>
    <row r="16" ht="15.15" spans="1:7">
      <c r="A16" s="173" t="s">
        <v>16</v>
      </c>
      <c r="B16" s="148" t="s">
        <v>17</v>
      </c>
      <c r="C16" s="173" t="s">
        <v>18</v>
      </c>
      <c r="D16" s="173" t="s">
        <v>19</v>
      </c>
      <c r="E16" s="148"/>
      <c r="F16" s="148"/>
      <c r="G16" s="148"/>
    </row>
    <row r="17" spans="1:7">
      <c r="A17" s="173">
        <v>1</v>
      </c>
      <c r="B17" s="148" t="s">
        <v>20</v>
      </c>
      <c r="C17" s="174" t="s">
        <v>102</v>
      </c>
      <c r="D17" s="174" t="str">
        <f>A13</f>
        <v>Eletricista</v>
      </c>
      <c r="E17" s="148"/>
      <c r="F17" s="148"/>
      <c r="G17" s="148"/>
    </row>
    <row r="18" spans="1:7">
      <c r="A18" s="173">
        <v>2</v>
      </c>
      <c r="B18" s="148" t="s">
        <v>23</v>
      </c>
      <c r="C18" s="174" t="s">
        <v>196</v>
      </c>
      <c r="D18" s="174" t="s">
        <v>245</v>
      </c>
      <c r="E18" s="148"/>
      <c r="F18" s="148"/>
      <c r="G18" s="148"/>
    </row>
    <row r="19" spans="1:7">
      <c r="A19" s="173">
        <v>3</v>
      </c>
      <c r="B19" s="148" t="s">
        <v>26</v>
      </c>
      <c r="C19" s="174" t="str">
        <f>C9</f>
        <v>CCT PB 000047/2021</v>
      </c>
      <c r="D19" s="175">
        <v>1528</v>
      </c>
      <c r="E19" s="148"/>
      <c r="F19" s="148"/>
      <c r="G19" s="148"/>
    </row>
    <row r="20" spans="1:7">
      <c r="A20" s="173">
        <v>4</v>
      </c>
      <c r="B20" s="148" t="s">
        <v>29</v>
      </c>
      <c r="C20" s="174" t="str">
        <f>C9</f>
        <v>CCT PB 000047/2021</v>
      </c>
      <c r="D20" s="174" t="s">
        <v>198</v>
      </c>
      <c r="E20" s="148"/>
      <c r="F20" s="148"/>
      <c r="G20" s="148"/>
    </row>
    <row r="21" spans="1:7">
      <c r="A21" s="173">
        <v>5</v>
      </c>
      <c r="B21" s="148" t="s">
        <v>33</v>
      </c>
      <c r="C21" s="174" t="str">
        <f>C9</f>
        <v>CCT PB 000047/2021</v>
      </c>
      <c r="D21" s="176" t="s">
        <v>199</v>
      </c>
      <c r="E21" s="148"/>
      <c r="F21" s="148"/>
      <c r="G21" s="148"/>
    </row>
    <row r="22" spans="1:7">
      <c r="A22" s="148"/>
      <c r="B22" s="148"/>
      <c r="C22" s="148"/>
      <c r="D22" s="148"/>
      <c r="E22" s="148"/>
      <c r="F22" s="172"/>
      <c r="G22" s="172"/>
    </row>
    <row r="23" spans="1:7">
      <c r="A23" s="156" t="s">
        <v>36</v>
      </c>
      <c r="B23" s="156"/>
      <c r="C23" s="156"/>
      <c r="D23" s="156"/>
      <c r="E23" s="148"/>
      <c r="F23" s="148"/>
      <c r="G23" s="148"/>
    </row>
    <row r="24" spans="1:7">
      <c r="A24" s="173" t="s">
        <v>39</v>
      </c>
      <c r="B24" s="148" t="s">
        <v>40</v>
      </c>
      <c r="C24" s="173" t="s">
        <v>18</v>
      </c>
      <c r="D24" s="173" t="s">
        <v>19</v>
      </c>
      <c r="E24" s="148"/>
      <c r="F24" s="148"/>
      <c r="G24" s="177"/>
    </row>
    <row r="25" spans="1:7">
      <c r="A25" s="173" t="s">
        <v>42</v>
      </c>
      <c r="B25" s="148" t="s">
        <v>43</v>
      </c>
      <c r="C25" s="174" t="s">
        <v>246</v>
      </c>
      <c r="D25" s="175">
        <f>D19</f>
        <v>1528</v>
      </c>
      <c r="E25" s="148"/>
      <c r="F25" s="148"/>
      <c r="G25" s="177"/>
    </row>
    <row r="26" spans="1:7">
      <c r="A26" s="173" t="s">
        <v>45</v>
      </c>
      <c r="B26" s="148" t="s">
        <v>46</v>
      </c>
      <c r="C26" s="174" t="s">
        <v>247</v>
      </c>
      <c r="D26" s="175">
        <f>TRUNC((D25*30%),2)</f>
        <v>458.4</v>
      </c>
      <c r="E26" s="148"/>
      <c r="F26" s="148"/>
      <c r="G26" s="177"/>
    </row>
    <row r="27" spans="1:7">
      <c r="A27" s="173" t="s">
        <v>48</v>
      </c>
      <c r="B27" s="148" t="s">
        <v>49</v>
      </c>
      <c r="C27" s="174"/>
      <c r="D27" s="175">
        <v>0</v>
      </c>
      <c r="E27" s="148"/>
      <c r="F27" s="148"/>
      <c r="G27" s="148"/>
    </row>
    <row r="28" spans="1:7">
      <c r="A28" s="173" t="s">
        <v>50</v>
      </c>
      <c r="B28" s="148" t="s">
        <v>51</v>
      </c>
      <c r="C28" s="174"/>
      <c r="D28" s="175">
        <v>0</v>
      </c>
      <c r="E28" s="148"/>
      <c r="F28" s="148"/>
      <c r="G28" s="148"/>
    </row>
    <row r="29" spans="1:7">
      <c r="A29" s="173" t="s">
        <v>53</v>
      </c>
      <c r="B29" s="148" t="s">
        <v>54</v>
      </c>
      <c r="C29" s="174"/>
      <c r="D29" s="175">
        <v>0</v>
      </c>
      <c r="E29" s="148"/>
      <c r="F29" s="148"/>
      <c r="G29" s="148"/>
    </row>
    <row r="30" spans="1:7">
      <c r="A30" s="173" t="s">
        <v>55</v>
      </c>
      <c r="B30" s="148" t="s">
        <v>56</v>
      </c>
      <c r="C30" s="174"/>
      <c r="D30" s="175">
        <v>0</v>
      </c>
      <c r="E30" s="148"/>
      <c r="F30" s="148"/>
      <c r="G30" s="148"/>
    </row>
    <row r="31" spans="1:7">
      <c r="A31" s="173" t="s">
        <v>58</v>
      </c>
      <c r="B31" s="148"/>
      <c r="C31" s="173"/>
      <c r="D31" s="178">
        <f>TRUNC(SUM(D25:D30),2)</f>
        <v>1986.4</v>
      </c>
      <c r="E31" s="148"/>
      <c r="F31" s="172"/>
      <c r="G31" s="172"/>
    </row>
    <row r="32" spans="1:7">
      <c r="A32" s="148"/>
      <c r="B32" s="148"/>
      <c r="C32" s="148"/>
      <c r="D32" s="148"/>
      <c r="E32" s="148"/>
      <c r="F32" s="148"/>
      <c r="G32" s="148"/>
    </row>
    <row r="33" spans="1:7">
      <c r="A33" s="179" t="s">
        <v>61</v>
      </c>
      <c r="B33" s="179"/>
      <c r="C33" s="179"/>
      <c r="D33" s="179"/>
      <c r="E33" s="148"/>
      <c r="F33" s="148"/>
      <c r="G33" s="177"/>
    </row>
    <row r="34" spans="1:7">
      <c r="A34" s="148"/>
      <c r="B34" s="148"/>
      <c r="C34" s="148"/>
      <c r="D34" s="148"/>
      <c r="E34" s="148"/>
      <c r="F34" s="148"/>
      <c r="G34" s="148"/>
    </row>
    <row r="35" spans="1:7">
      <c r="A35" s="172" t="s">
        <v>63</v>
      </c>
      <c r="B35" s="172"/>
      <c r="C35" s="172"/>
      <c r="D35" s="172"/>
      <c r="E35" s="148"/>
      <c r="F35" s="148"/>
      <c r="G35" s="148"/>
    </row>
    <row r="36" spans="1:7">
      <c r="A36" s="173" t="s">
        <v>65</v>
      </c>
      <c r="B36" s="148" t="s">
        <v>66</v>
      </c>
      <c r="C36" s="173" t="s">
        <v>38</v>
      </c>
      <c r="D36" s="173" t="s">
        <v>19</v>
      </c>
      <c r="E36" s="148"/>
      <c r="F36" s="148"/>
      <c r="G36" s="148"/>
    </row>
    <row r="37" spans="1:7">
      <c r="A37" s="173" t="s">
        <v>42</v>
      </c>
      <c r="B37" s="148" t="s">
        <v>67</v>
      </c>
      <c r="C37" s="180">
        <f>(1/12)</f>
        <v>0.0833333333333333</v>
      </c>
      <c r="D37" s="178">
        <f>TRUNC($D$31*C37,2)</f>
        <v>165.53</v>
      </c>
      <c r="E37" s="148"/>
      <c r="F37" s="181"/>
      <c r="G37" s="181"/>
    </row>
    <row r="38" spans="1:7">
      <c r="A38" s="173" t="s">
        <v>45</v>
      </c>
      <c r="B38" s="148" t="s">
        <v>68</v>
      </c>
      <c r="C38" s="180">
        <f>(((1+1/3)/12))</f>
        <v>0.111111111111111</v>
      </c>
      <c r="D38" s="178">
        <f>TRUNC($D$31*C38,2)</f>
        <v>220.71</v>
      </c>
      <c r="E38" s="148"/>
      <c r="F38" s="181"/>
      <c r="G38" s="181"/>
    </row>
    <row r="39" spans="1:7">
      <c r="A39" s="173" t="s">
        <v>58</v>
      </c>
      <c r="B39" s="148"/>
      <c r="C39" s="148"/>
      <c r="D39" s="178">
        <f>TRUNC((SUM(D37:D38)),2)</f>
        <v>386.24</v>
      </c>
      <c r="E39" s="148"/>
      <c r="F39" s="181"/>
      <c r="G39" s="181"/>
    </row>
    <row r="40" ht="15.15" spans="1:7">
      <c r="A40" s="148"/>
      <c r="B40" s="148"/>
      <c r="C40" s="148"/>
      <c r="D40" s="178"/>
      <c r="E40" s="148"/>
      <c r="F40" s="181"/>
      <c r="G40" s="181"/>
    </row>
    <row r="41" ht="15.9" spans="1:7">
      <c r="A41" s="182" t="s">
        <v>201</v>
      </c>
      <c r="B41" s="182"/>
      <c r="C41" s="183" t="s">
        <v>202</v>
      </c>
      <c r="D41" s="184">
        <f>D31</f>
        <v>1986.4</v>
      </c>
      <c r="E41" s="148"/>
      <c r="F41" s="181"/>
      <c r="G41" s="181"/>
    </row>
    <row r="42" ht="15.9" spans="1:7">
      <c r="A42" s="182"/>
      <c r="B42" s="182"/>
      <c r="C42" s="185" t="s">
        <v>203</v>
      </c>
      <c r="D42" s="184">
        <f>D39</f>
        <v>386.24</v>
      </c>
      <c r="E42" s="148"/>
      <c r="F42" s="181"/>
      <c r="G42" s="181"/>
    </row>
    <row r="43" ht="15.9" spans="1:7">
      <c r="A43" s="182"/>
      <c r="B43" s="182"/>
      <c r="C43" s="183" t="s">
        <v>204</v>
      </c>
      <c r="D43" s="186">
        <f>TRUNC((SUM(D41:D42)),2)</f>
        <v>2372.64</v>
      </c>
      <c r="E43" s="148"/>
      <c r="F43" s="181"/>
      <c r="G43" s="181"/>
    </row>
    <row r="44" ht="15.15" spans="1:7">
      <c r="A44" s="173"/>
      <c r="B44" s="148"/>
      <c r="C44" s="187"/>
      <c r="D44" s="178"/>
      <c r="E44" s="148"/>
      <c r="F44" s="181"/>
      <c r="G44" s="181"/>
    </row>
    <row r="45" spans="1:7">
      <c r="A45" s="172" t="s">
        <v>77</v>
      </c>
      <c r="B45" s="172"/>
      <c r="C45" s="172"/>
      <c r="D45" s="172"/>
      <c r="E45" s="148"/>
      <c r="F45" s="148"/>
      <c r="G45" s="148"/>
    </row>
    <row r="46" spans="1:7">
      <c r="A46" s="173" t="s">
        <v>78</v>
      </c>
      <c r="B46" s="148" t="s">
        <v>79</v>
      </c>
      <c r="C46" s="173" t="s">
        <v>38</v>
      </c>
      <c r="D46" s="173" t="s">
        <v>80</v>
      </c>
      <c r="E46" s="148"/>
      <c r="F46" s="148"/>
      <c r="G46" s="148"/>
    </row>
    <row r="47" spans="1:7">
      <c r="A47" s="173" t="s">
        <v>42</v>
      </c>
      <c r="B47" s="148" t="s">
        <v>81</v>
      </c>
      <c r="C47" s="180">
        <v>0.2</v>
      </c>
      <c r="D47" s="178">
        <f t="shared" ref="D47:D54" si="0">TRUNC(($D$43*C47),2)</f>
        <v>474.52</v>
      </c>
      <c r="E47" s="148"/>
      <c r="F47" s="148"/>
      <c r="G47" s="148"/>
    </row>
    <row r="48" spans="1:7">
      <c r="A48" s="173" t="s">
        <v>45</v>
      </c>
      <c r="B48" s="148" t="s">
        <v>82</v>
      </c>
      <c r="C48" s="180">
        <v>0.025</v>
      </c>
      <c r="D48" s="178">
        <f t="shared" si="0"/>
        <v>59.31</v>
      </c>
      <c r="E48" s="148"/>
      <c r="F48" s="148"/>
      <c r="G48" s="148"/>
    </row>
    <row r="49" spans="1:7">
      <c r="A49" s="173" t="s">
        <v>48</v>
      </c>
      <c r="B49" s="148" t="s">
        <v>205</v>
      </c>
      <c r="C49" s="188">
        <v>0.06</v>
      </c>
      <c r="D49" s="175">
        <f t="shared" si="0"/>
        <v>142.35</v>
      </c>
      <c r="E49" s="148"/>
      <c r="F49" s="148"/>
      <c r="G49" s="148"/>
    </row>
    <row r="50" spans="1:7">
      <c r="A50" s="173" t="s">
        <v>50</v>
      </c>
      <c r="B50" s="148" t="s">
        <v>84</v>
      </c>
      <c r="C50" s="180">
        <v>0.015</v>
      </c>
      <c r="D50" s="178">
        <f t="shared" si="0"/>
        <v>35.58</v>
      </c>
      <c r="E50" s="148"/>
      <c r="F50" s="148"/>
      <c r="G50" s="148"/>
    </row>
    <row r="51" spans="1:7">
      <c r="A51" s="173" t="s">
        <v>53</v>
      </c>
      <c r="B51" s="148" t="s">
        <v>85</v>
      </c>
      <c r="C51" s="180">
        <v>0.01</v>
      </c>
      <c r="D51" s="178">
        <f t="shared" si="0"/>
        <v>23.72</v>
      </c>
      <c r="E51" s="148"/>
      <c r="F51" s="148"/>
      <c r="G51" s="148"/>
    </row>
    <row r="52" spans="1:7">
      <c r="A52" s="173" t="s">
        <v>55</v>
      </c>
      <c r="B52" s="148" t="s">
        <v>86</v>
      </c>
      <c r="C52" s="180">
        <v>0.006</v>
      </c>
      <c r="D52" s="178">
        <f t="shared" si="0"/>
        <v>14.23</v>
      </c>
      <c r="E52" s="148"/>
      <c r="F52" s="148"/>
      <c r="G52" s="148"/>
    </row>
    <row r="53" spans="1:7">
      <c r="A53" s="173" t="s">
        <v>87</v>
      </c>
      <c r="B53" s="148" t="s">
        <v>88</v>
      </c>
      <c r="C53" s="180">
        <v>0.002</v>
      </c>
      <c r="D53" s="178">
        <f t="shared" si="0"/>
        <v>4.74</v>
      </c>
      <c r="E53" s="148"/>
      <c r="F53" s="148"/>
      <c r="G53" s="148"/>
    </row>
    <row r="54" spans="1:7">
      <c r="A54" s="173" t="s">
        <v>89</v>
      </c>
      <c r="B54" s="148" t="s">
        <v>90</v>
      </c>
      <c r="C54" s="180">
        <v>0.08</v>
      </c>
      <c r="D54" s="178">
        <f t="shared" si="0"/>
        <v>189.81</v>
      </c>
      <c r="E54" s="148"/>
      <c r="F54" s="148"/>
      <c r="G54" s="148"/>
    </row>
    <row r="55" spans="1:7">
      <c r="A55" s="173" t="s">
        <v>58</v>
      </c>
      <c r="B55" s="148"/>
      <c r="C55" s="187">
        <f>SUM(C47:C54)</f>
        <v>0.398</v>
      </c>
      <c r="D55" s="178">
        <f>TRUNC((SUM(D47:D54)),2)</f>
        <v>944.26</v>
      </c>
      <c r="E55" s="148"/>
      <c r="F55" s="148"/>
      <c r="G55" s="148"/>
    </row>
    <row r="56" spans="1:7">
      <c r="A56" s="173"/>
      <c r="B56" s="148"/>
      <c r="C56" s="187"/>
      <c r="D56" s="178"/>
      <c r="E56" s="148"/>
      <c r="F56" s="148"/>
      <c r="G56" s="148"/>
    </row>
    <row r="57" spans="1:7">
      <c r="A57" s="172" t="s">
        <v>95</v>
      </c>
      <c r="B57" s="172"/>
      <c r="C57" s="172"/>
      <c r="D57" s="172"/>
      <c r="E57" s="148"/>
      <c r="F57" s="148"/>
      <c r="G57" s="148"/>
    </row>
    <row r="58" spans="1:7">
      <c r="A58" s="173" t="s">
        <v>96</v>
      </c>
      <c r="B58" s="148" t="s">
        <v>97</v>
      </c>
      <c r="C58" s="173" t="s">
        <v>18</v>
      </c>
      <c r="D58" s="173" t="s">
        <v>19</v>
      </c>
      <c r="E58" s="148"/>
      <c r="F58" s="148"/>
      <c r="G58" s="148"/>
    </row>
    <row r="59" spans="1:7">
      <c r="A59" s="173" t="s">
        <v>42</v>
      </c>
      <c r="B59" s="148" t="s">
        <v>98</v>
      </c>
      <c r="C59" s="174"/>
      <c r="D59" s="175">
        <v>0</v>
      </c>
      <c r="E59" s="148"/>
      <c r="F59" s="148"/>
      <c r="G59" s="148"/>
    </row>
    <row r="60" spans="1:7">
      <c r="A60" s="173" t="s">
        <v>45</v>
      </c>
      <c r="B60" s="148" t="s">
        <v>99</v>
      </c>
      <c r="C60" s="174" t="str">
        <f>C9</f>
        <v>CCT PB 000047/2021</v>
      </c>
      <c r="D60" s="175">
        <f>TRUNC((((22*18))-(((22*18))*0.2)),2)</f>
        <v>316.8</v>
      </c>
      <c r="E60" s="148"/>
      <c r="F60" s="148"/>
      <c r="G60" s="148"/>
    </row>
    <row r="61" spans="1:7">
      <c r="A61" s="173" t="s">
        <v>48</v>
      </c>
      <c r="B61" s="148" t="s">
        <v>100</v>
      </c>
      <c r="C61" s="174"/>
      <c r="D61" s="175">
        <v>0</v>
      </c>
      <c r="E61" s="148"/>
      <c r="F61" s="148"/>
      <c r="G61" s="148"/>
    </row>
    <row r="62" spans="1:7">
      <c r="A62" s="189" t="s">
        <v>50</v>
      </c>
      <c r="B62" s="190" t="s">
        <v>248</v>
      </c>
      <c r="C62" s="191"/>
      <c r="D62" s="191">
        <v>0</v>
      </c>
      <c r="E62" s="148"/>
      <c r="F62" s="190"/>
      <c r="G62" s="148"/>
    </row>
    <row r="63" spans="1:7">
      <c r="A63" s="173" t="s">
        <v>53</v>
      </c>
      <c r="B63" s="148" t="s">
        <v>207</v>
      </c>
      <c r="C63" s="174" t="str">
        <f>C9</f>
        <v>CCT PB 000047/2021</v>
      </c>
      <c r="D63" s="192">
        <v>15</v>
      </c>
      <c r="E63" s="148"/>
      <c r="F63" s="148"/>
      <c r="G63" s="148"/>
    </row>
    <row r="64" spans="1:7">
      <c r="A64" s="173" t="s">
        <v>55</v>
      </c>
      <c r="B64" s="193" t="s">
        <v>208</v>
      </c>
      <c r="C64" s="191" t="str">
        <f>C9</f>
        <v>CCT PB 000047/2021</v>
      </c>
      <c r="D64" s="192">
        <v>5</v>
      </c>
      <c r="E64" s="148"/>
      <c r="F64" s="148"/>
      <c r="G64" s="148"/>
    </row>
    <row r="65" spans="1:7">
      <c r="A65" s="173" t="s">
        <v>58</v>
      </c>
      <c r="B65" s="148"/>
      <c r="C65" s="148"/>
      <c r="D65" s="178">
        <f>TRUNC((SUM(D59:D64)),2)</f>
        <v>336.8</v>
      </c>
      <c r="E65" s="148"/>
      <c r="F65" s="148"/>
      <c r="G65" s="148"/>
    </row>
    <row r="66" spans="1:7">
      <c r="A66" s="173"/>
      <c r="B66" s="148"/>
      <c r="C66" s="148"/>
      <c r="D66" s="178"/>
      <c r="E66" s="148"/>
      <c r="F66" s="148"/>
      <c r="G66" s="148"/>
    </row>
    <row r="67" spans="1:7">
      <c r="A67" s="172" t="s">
        <v>105</v>
      </c>
      <c r="B67" s="172"/>
      <c r="C67" s="172"/>
      <c r="D67" s="172"/>
      <c r="E67" s="148"/>
      <c r="F67" s="148"/>
      <c r="G67" s="148"/>
    </row>
    <row r="68" spans="1:7">
      <c r="A68" s="173" t="s">
        <v>106</v>
      </c>
      <c r="B68" s="148" t="s">
        <v>107</v>
      </c>
      <c r="C68" s="173" t="s">
        <v>18</v>
      </c>
      <c r="D68" s="173" t="s">
        <v>19</v>
      </c>
      <c r="E68" s="148"/>
      <c r="F68" s="148"/>
      <c r="G68" s="148"/>
    </row>
    <row r="69" spans="1:7">
      <c r="A69" s="173" t="s">
        <v>65</v>
      </c>
      <c r="B69" s="148" t="s">
        <v>66</v>
      </c>
      <c r="C69" s="173"/>
      <c r="D69" s="178">
        <f>D39</f>
        <v>386.24</v>
      </c>
      <c r="E69" s="148"/>
      <c r="F69" s="148"/>
      <c r="G69" s="148"/>
    </row>
    <row r="70" spans="1:7">
      <c r="A70" s="173" t="s">
        <v>78</v>
      </c>
      <c r="B70" s="148" t="s">
        <v>79</v>
      </c>
      <c r="C70" s="173"/>
      <c r="D70" s="178">
        <f>D55</f>
        <v>944.26</v>
      </c>
      <c r="E70" s="148"/>
      <c r="F70" s="148"/>
      <c r="G70" s="148"/>
    </row>
    <row r="71" spans="1:7">
      <c r="A71" s="173" t="s">
        <v>96</v>
      </c>
      <c r="B71" s="148" t="s">
        <v>97</v>
      </c>
      <c r="C71" s="173"/>
      <c r="D71" s="178">
        <f>D65</f>
        <v>336.8</v>
      </c>
      <c r="E71" s="148"/>
      <c r="F71" s="148"/>
      <c r="G71" s="148"/>
    </row>
    <row r="72" spans="1:7">
      <c r="A72" s="173" t="s">
        <v>58</v>
      </c>
      <c r="B72" s="148"/>
      <c r="C72" s="173"/>
      <c r="D72" s="178">
        <f>TRUNC(SUM(D69:D71),2)</f>
        <v>1667.3</v>
      </c>
      <c r="E72" s="148"/>
      <c r="F72" s="148"/>
      <c r="G72" s="148"/>
    </row>
    <row r="73" spans="1:7">
      <c r="A73" s="148"/>
      <c r="B73" s="148"/>
      <c r="C73" s="148"/>
      <c r="D73" s="148"/>
      <c r="E73" s="148"/>
      <c r="F73" s="148"/>
      <c r="G73" s="148"/>
    </row>
    <row r="74" spans="1:7">
      <c r="A74" s="156" t="s">
        <v>108</v>
      </c>
      <c r="B74" s="156"/>
      <c r="C74" s="156"/>
      <c r="D74" s="156"/>
      <c r="E74" s="148"/>
      <c r="F74" s="148"/>
      <c r="G74" s="148"/>
    </row>
    <row r="75" spans="1:7">
      <c r="A75" s="173" t="s">
        <v>109</v>
      </c>
      <c r="B75" s="148" t="s">
        <v>110</v>
      </c>
      <c r="C75" s="173" t="s">
        <v>38</v>
      </c>
      <c r="D75" s="173" t="s">
        <v>19</v>
      </c>
      <c r="E75" s="148"/>
      <c r="F75" s="148"/>
      <c r="G75" s="148"/>
    </row>
    <row r="76" spans="1:7">
      <c r="A76" s="173" t="s">
        <v>42</v>
      </c>
      <c r="B76" s="148" t="s">
        <v>111</v>
      </c>
      <c r="C76" s="188">
        <f>((1/12)*5%)</f>
        <v>0.00416666666666667</v>
      </c>
      <c r="D76" s="175">
        <f t="shared" ref="D76:D79" si="1">TRUNC(($D$31*C76),2)</f>
        <v>8.27</v>
      </c>
      <c r="E76" s="148"/>
      <c r="F76" s="148"/>
      <c r="G76" s="148"/>
    </row>
    <row r="77" spans="1:7">
      <c r="A77" s="173" t="s">
        <v>45</v>
      </c>
      <c r="B77" s="148" t="s">
        <v>112</v>
      </c>
      <c r="C77" s="194">
        <v>0.08</v>
      </c>
      <c r="D77" s="178">
        <f>TRUNC(($D$76*C77),2)</f>
        <v>0.66</v>
      </c>
      <c r="E77" s="148"/>
      <c r="F77" s="148"/>
      <c r="G77" s="148"/>
    </row>
    <row r="78" spans="1:7">
      <c r="A78" s="173" t="s">
        <v>48</v>
      </c>
      <c r="B78" s="195" t="s">
        <v>113</v>
      </c>
      <c r="C78" s="196">
        <f>(0.08*0.4*0.05)</f>
        <v>0.0016</v>
      </c>
      <c r="D78" s="191">
        <f t="shared" si="1"/>
        <v>3.17</v>
      </c>
      <c r="E78" s="148"/>
      <c r="F78" s="148"/>
      <c r="G78" s="148"/>
    </row>
    <row r="79" spans="1:7">
      <c r="A79" s="173" t="s">
        <v>50</v>
      </c>
      <c r="B79" s="148" t="s">
        <v>114</v>
      </c>
      <c r="C79" s="197">
        <f>(((7/30)/12)*0.95)</f>
        <v>0.0184722222222222</v>
      </c>
      <c r="D79" s="198">
        <f t="shared" si="1"/>
        <v>36.69</v>
      </c>
      <c r="E79" s="148"/>
      <c r="F79" s="148"/>
      <c r="G79" s="148"/>
    </row>
    <row r="80" spans="1:7">
      <c r="A80" s="173" t="s">
        <v>53</v>
      </c>
      <c r="B80" s="195" t="s">
        <v>209</v>
      </c>
      <c r="C80" s="196">
        <f>C55</f>
        <v>0.398</v>
      </c>
      <c r="D80" s="191">
        <f>TRUNC(($D$79*C80),2)</f>
        <v>14.6</v>
      </c>
      <c r="E80" s="148"/>
      <c r="F80" s="148"/>
      <c r="G80" s="148"/>
    </row>
    <row r="81" spans="1:7">
      <c r="A81" s="173" t="s">
        <v>55</v>
      </c>
      <c r="B81" s="195" t="s">
        <v>115</v>
      </c>
      <c r="C81" s="196">
        <f>(0.08*0.4*0.95)</f>
        <v>0.0304</v>
      </c>
      <c r="D81" s="191">
        <f>TRUNC(($D$31*C81),2)</f>
        <v>60.38</v>
      </c>
      <c r="E81" s="148"/>
      <c r="F81" s="148"/>
      <c r="G81" s="148"/>
    </row>
    <row r="82" spans="1:7">
      <c r="A82" s="173" t="s">
        <v>58</v>
      </c>
      <c r="B82" s="148"/>
      <c r="C82" s="194">
        <f>SUM(C76:C81)</f>
        <v>0.532638888888889</v>
      </c>
      <c r="D82" s="178">
        <f>TRUNC((SUM(D76:D81)),2)</f>
        <v>123.77</v>
      </c>
      <c r="E82" s="148"/>
      <c r="F82" s="148"/>
      <c r="G82" s="148"/>
    </row>
    <row r="83" ht="15.15" spans="1:7">
      <c r="A83" s="173"/>
      <c r="B83" s="148"/>
      <c r="C83" s="148"/>
      <c r="D83" s="178"/>
      <c r="E83" s="148"/>
      <c r="F83" s="148"/>
      <c r="G83" s="148"/>
    </row>
    <row r="84" ht="15.9" spans="1:7">
      <c r="A84" s="182" t="s">
        <v>210</v>
      </c>
      <c r="B84" s="182"/>
      <c r="C84" s="183" t="s">
        <v>202</v>
      </c>
      <c r="D84" s="184">
        <f>D31</f>
        <v>1986.4</v>
      </c>
      <c r="E84" s="148"/>
      <c r="F84" s="148"/>
      <c r="G84" s="148"/>
    </row>
    <row r="85" ht="15.9" spans="1:7">
      <c r="A85" s="182"/>
      <c r="B85" s="182"/>
      <c r="C85" s="185" t="s">
        <v>211</v>
      </c>
      <c r="D85" s="184">
        <f>D72</f>
        <v>1667.3</v>
      </c>
      <c r="E85" s="148"/>
      <c r="F85" s="148"/>
      <c r="G85" s="148"/>
    </row>
    <row r="86" ht="15.9" spans="1:7">
      <c r="A86" s="182"/>
      <c r="B86" s="182"/>
      <c r="C86" s="183" t="s">
        <v>212</v>
      </c>
      <c r="D86" s="184">
        <f>D82</f>
        <v>123.77</v>
      </c>
      <c r="E86" s="148"/>
      <c r="F86" s="148"/>
      <c r="G86" s="148"/>
    </row>
    <row r="87" ht="15.9" spans="1:7">
      <c r="A87" s="182"/>
      <c r="B87" s="182"/>
      <c r="C87" s="185" t="s">
        <v>204</v>
      </c>
      <c r="D87" s="186">
        <f>TRUNC((SUM(D84:D86)),2)</f>
        <v>3777.47</v>
      </c>
      <c r="E87" s="148"/>
      <c r="F87" s="148"/>
      <c r="G87" s="148"/>
    </row>
    <row r="88" ht="15.15" spans="1:7">
      <c r="A88" s="173"/>
      <c r="B88" s="148"/>
      <c r="C88" s="148"/>
      <c r="D88" s="178"/>
      <c r="E88" s="148"/>
      <c r="F88" s="148"/>
      <c r="G88" s="148"/>
    </row>
    <row r="89" spans="1:7">
      <c r="A89" s="199" t="s">
        <v>127</v>
      </c>
      <c r="B89" s="199"/>
      <c r="C89" s="199"/>
      <c r="D89" s="199"/>
      <c r="E89" s="148"/>
      <c r="F89" s="148"/>
      <c r="G89" s="148"/>
    </row>
    <row r="90" spans="1:7">
      <c r="A90" s="172" t="s">
        <v>128</v>
      </c>
      <c r="B90" s="172"/>
      <c r="C90" s="172"/>
      <c r="D90" s="172"/>
      <c r="E90" s="148"/>
      <c r="F90" s="148"/>
      <c r="G90" s="148"/>
    </row>
    <row r="91" spans="1:7">
      <c r="A91" s="173" t="s">
        <v>129</v>
      </c>
      <c r="B91" s="148" t="s">
        <v>130</v>
      </c>
      <c r="C91" s="173" t="s">
        <v>38</v>
      </c>
      <c r="D91" s="173" t="s">
        <v>19</v>
      </c>
      <c r="E91" s="148"/>
      <c r="F91" s="148"/>
      <c r="G91" s="148"/>
    </row>
    <row r="92" spans="1:7">
      <c r="A92" s="173" t="s">
        <v>42</v>
      </c>
      <c r="B92" s="148" t="s">
        <v>213</v>
      </c>
      <c r="C92" s="194">
        <f>(((1+1/3)/12)/12)+((1/12)/12)</f>
        <v>0.0162037037037037</v>
      </c>
      <c r="D92" s="178">
        <f t="shared" ref="D92:D96" si="2">TRUNC(($D$87*C92),2)</f>
        <v>61.2</v>
      </c>
      <c r="E92" s="148"/>
      <c r="F92" s="148"/>
      <c r="G92" s="148"/>
    </row>
    <row r="93" spans="1:7">
      <c r="A93" s="173" t="s">
        <v>45</v>
      </c>
      <c r="B93" s="148" t="s">
        <v>133</v>
      </c>
      <c r="C93" s="188">
        <f>((2/30)/12)</f>
        <v>0.00555555555555556</v>
      </c>
      <c r="D93" s="191">
        <f t="shared" si="2"/>
        <v>20.98</v>
      </c>
      <c r="E93" s="148"/>
      <c r="F93" s="148"/>
      <c r="G93" s="148"/>
    </row>
    <row r="94" spans="1:7">
      <c r="A94" s="173" t="s">
        <v>48</v>
      </c>
      <c r="B94" s="148" t="s">
        <v>134</v>
      </c>
      <c r="C94" s="188">
        <f>((5/30)/12)*0.02</f>
        <v>0.000277777777777778</v>
      </c>
      <c r="D94" s="191">
        <f t="shared" si="2"/>
        <v>1.04</v>
      </c>
      <c r="E94" s="148"/>
      <c r="F94" s="148"/>
      <c r="G94" s="148"/>
    </row>
    <row r="95" spans="1:7">
      <c r="A95" s="189" t="s">
        <v>50</v>
      </c>
      <c r="B95" s="195" t="s">
        <v>135</v>
      </c>
      <c r="C95" s="196">
        <f>((15/30)/12)*0.08</f>
        <v>0.00333333333333333</v>
      </c>
      <c r="D95" s="191">
        <f t="shared" si="2"/>
        <v>12.59</v>
      </c>
      <c r="E95" s="148"/>
      <c r="F95" s="148"/>
      <c r="G95" s="148"/>
    </row>
    <row r="96" spans="1:7">
      <c r="A96" s="173" t="s">
        <v>53</v>
      </c>
      <c r="B96" s="148" t="s">
        <v>136</v>
      </c>
      <c r="C96" s="188">
        <f>((1+1/3)/12)*0.03*((4/12))</f>
        <v>0.00111111111111111</v>
      </c>
      <c r="D96" s="191">
        <f t="shared" si="2"/>
        <v>4.19</v>
      </c>
      <c r="E96" s="148"/>
      <c r="F96" s="148"/>
      <c r="G96" s="148"/>
    </row>
    <row r="97" spans="1:7">
      <c r="A97" s="173" t="s">
        <v>55</v>
      </c>
      <c r="B97" s="195" t="s">
        <v>214</v>
      </c>
      <c r="C97" s="200">
        <v>0</v>
      </c>
      <c r="D97" s="191">
        <f>TRUNC($D$87*C97)</f>
        <v>0</v>
      </c>
      <c r="E97" s="148"/>
      <c r="F97" s="148"/>
      <c r="G97" s="148"/>
    </row>
    <row r="98" spans="1:7">
      <c r="A98" s="173" t="s">
        <v>58</v>
      </c>
      <c r="B98" s="148"/>
      <c r="C98" s="194">
        <f>SUM(C92:C97)</f>
        <v>0.0264814814814815</v>
      </c>
      <c r="D98" s="178">
        <f>TRUNC((SUM(D92:D97)),2)</f>
        <v>100</v>
      </c>
      <c r="E98" s="148"/>
      <c r="F98" s="148"/>
      <c r="G98" s="148"/>
    </row>
    <row r="99" spans="1:7">
      <c r="A99" s="173"/>
      <c r="B99" s="148"/>
      <c r="C99" s="173"/>
      <c r="D99" s="178"/>
      <c r="E99" s="148"/>
      <c r="F99" s="148"/>
      <c r="G99" s="148"/>
    </row>
    <row r="100" spans="1:7">
      <c r="A100" s="172" t="s">
        <v>144</v>
      </c>
      <c r="B100" s="172"/>
      <c r="C100" s="172"/>
      <c r="D100" s="172"/>
      <c r="E100" s="148"/>
      <c r="F100" s="148"/>
      <c r="G100" s="148"/>
    </row>
    <row r="101" spans="1:7">
      <c r="A101" s="173" t="s">
        <v>145</v>
      </c>
      <c r="B101" s="148" t="s">
        <v>146</v>
      </c>
      <c r="C101" s="173" t="s">
        <v>18</v>
      </c>
      <c r="D101" s="173" t="s">
        <v>19</v>
      </c>
      <c r="E101" s="148"/>
      <c r="F101" s="148"/>
      <c r="G101" s="148"/>
    </row>
    <row r="102" ht="57.6" spans="1:7">
      <c r="A102" s="189" t="s">
        <v>42</v>
      </c>
      <c r="B102" s="201" t="s">
        <v>147</v>
      </c>
      <c r="C102" s="202" t="s">
        <v>215</v>
      </c>
      <c r="D102" s="203" t="s">
        <v>216</v>
      </c>
      <c r="E102" s="148"/>
      <c r="F102" s="148"/>
      <c r="G102" s="148"/>
    </row>
    <row r="103" spans="1:7">
      <c r="A103" s="173" t="s">
        <v>58</v>
      </c>
      <c r="B103" s="148"/>
      <c r="C103" s="173"/>
      <c r="D103" s="204" t="str">
        <f>D102</f>
        <v>*=TRUNCAR(($D$86/220)*(1*(365/12))/2)</v>
      </c>
      <c r="E103" s="148"/>
      <c r="F103" s="148"/>
      <c r="G103" s="148"/>
    </row>
    <row r="104" spans="1:7">
      <c r="A104" s="148"/>
      <c r="B104" s="148"/>
      <c r="C104" s="148"/>
      <c r="D104" s="148"/>
      <c r="E104" s="148"/>
      <c r="F104" s="148"/>
      <c r="G104" s="148"/>
    </row>
    <row r="105" spans="1:7">
      <c r="A105" s="172" t="s">
        <v>148</v>
      </c>
      <c r="B105" s="172"/>
      <c r="C105" s="172"/>
      <c r="D105" s="172"/>
      <c r="E105" s="148"/>
      <c r="F105" s="148"/>
      <c r="G105" s="148"/>
    </row>
    <row r="106" spans="1:7">
      <c r="A106" s="173" t="s">
        <v>149</v>
      </c>
      <c r="B106" s="148" t="s">
        <v>150</v>
      </c>
      <c r="C106" s="173" t="s">
        <v>18</v>
      </c>
      <c r="D106" s="173" t="s">
        <v>19</v>
      </c>
      <c r="E106" s="148"/>
      <c r="F106" s="148"/>
      <c r="G106" s="148"/>
    </row>
    <row r="107" spans="1:7">
      <c r="A107" s="173" t="s">
        <v>129</v>
      </c>
      <c r="B107" s="148" t="s">
        <v>130</v>
      </c>
      <c r="C107" s="148"/>
      <c r="D107" s="175">
        <f>D98</f>
        <v>100</v>
      </c>
      <c r="E107" s="148"/>
      <c r="F107" s="148"/>
      <c r="G107" s="148"/>
    </row>
    <row r="108" spans="1:7">
      <c r="A108" s="173" t="s">
        <v>145</v>
      </c>
      <c r="B108" s="148" t="s">
        <v>151</v>
      </c>
      <c r="C108" s="148"/>
      <c r="D108" s="205" t="str">
        <f>Submódulo4.260_8120[[#Totals],[Valor]]</f>
        <v>*=TRUNCAR(($D$86/220)*(1*(365/12))/2)</v>
      </c>
      <c r="E108" s="148"/>
      <c r="F108" s="148"/>
      <c r="G108" s="148"/>
    </row>
    <row r="109" ht="43.2" spans="1:7">
      <c r="A109" s="189" t="s">
        <v>58</v>
      </c>
      <c r="B109" s="190"/>
      <c r="C109" s="202" t="s">
        <v>217</v>
      </c>
      <c r="D109" s="206">
        <f>TRUNC((SUM(D107:D108)),2)</f>
        <v>100</v>
      </c>
      <c r="E109" s="148"/>
      <c r="F109" s="148"/>
      <c r="G109" s="148"/>
    </row>
    <row r="110" spans="1:7">
      <c r="A110" s="148"/>
      <c r="B110" s="148"/>
      <c r="C110" s="148"/>
      <c r="D110" s="148"/>
      <c r="E110" s="148"/>
      <c r="F110" s="148"/>
      <c r="G110" s="148"/>
    </row>
    <row r="111" spans="1:7">
      <c r="A111" s="156" t="s">
        <v>152</v>
      </c>
      <c r="B111" s="156"/>
      <c r="C111" s="156"/>
      <c r="D111" s="156"/>
      <c r="E111" s="148"/>
      <c r="F111" s="148"/>
      <c r="G111" s="148"/>
    </row>
    <row r="112" spans="1:7">
      <c r="A112" s="173" t="s">
        <v>153</v>
      </c>
      <c r="B112" s="148" t="s">
        <v>154</v>
      </c>
      <c r="C112" s="173" t="s">
        <v>18</v>
      </c>
      <c r="D112" s="173" t="s">
        <v>19</v>
      </c>
      <c r="E112" s="148"/>
      <c r="F112" s="148"/>
      <c r="G112" s="148"/>
    </row>
    <row r="113" spans="1:7">
      <c r="A113" s="173" t="s">
        <v>42</v>
      </c>
      <c r="B113" s="148" t="s">
        <v>218</v>
      </c>
      <c r="C113" s="148"/>
      <c r="D113" s="175">
        <f>Uniformes!G59</f>
        <v>200.28</v>
      </c>
      <c r="E113" s="148"/>
      <c r="F113" s="148"/>
      <c r="G113" s="148"/>
    </row>
    <row r="114" spans="1:7">
      <c r="A114" s="173" t="s">
        <v>45</v>
      </c>
      <c r="B114" s="148" t="s">
        <v>219</v>
      </c>
      <c r="C114" s="148"/>
      <c r="D114" s="175">
        <f>EPC!E21</f>
        <v>15.95</v>
      </c>
      <c r="E114" s="148"/>
      <c r="F114" s="148"/>
      <c r="G114" s="148"/>
    </row>
    <row r="115" spans="1:7">
      <c r="A115" s="173" t="s">
        <v>48</v>
      </c>
      <c r="B115" s="148" t="s">
        <v>156</v>
      </c>
      <c r="C115" s="87"/>
      <c r="D115" s="175">
        <f>'Materiais e Equipamentos'!E85</f>
        <v>214.11</v>
      </c>
      <c r="E115" s="148"/>
      <c r="F115" s="148"/>
      <c r="G115" s="148"/>
    </row>
    <row r="116" spans="1:7">
      <c r="A116" s="173" t="s">
        <v>50</v>
      </c>
      <c r="B116" s="148" t="s">
        <v>157</v>
      </c>
      <c r="C116" s="87"/>
      <c r="D116" s="175">
        <f>'Materiais e Equipamentos'!F116</f>
        <v>31.35</v>
      </c>
      <c r="E116" s="148"/>
      <c r="F116" s="148"/>
      <c r="G116" s="148"/>
    </row>
    <row r="117" spans="1:7">
      <c r="A117" s="173" t="s">
        <v>53</v>
      </c>
      <c r="B117" s="148" t="s">
        <v>56</v>
      </c>
      <c r="C117" s="148"/>
      <c r="D117" s="175">
        <f>H116</f>
        <v>0</v>
      </c>
      <c r="E117" s="148"/>
      <c r="F117" s="148"/>
      <c r="G117" s="148"/>
    </row>
    <row r="118" spans="1:7">
      <c r="A118" s="173" t="s">
        <v>58</v>
      </c>
      <c r="B118" s="148"/>
      <c r="C118" s="148"/>
      <c r="D118" s="178">
        <f>TRUNC(SUM((D113:D117)),2)</f>
        <v>461.69</v>
      </c>
      <c r="E118" s="148"/>
      <c r="F118" s="148"/>
      <c r="G118" s="148"/>
    </row>
    <row r="119" ht="15.15" spans="1:7">
      <c r="A119" s="148"/>
      <c r="B119" s="148"/>
      <c r="C119" s="148"/>
      <c r="D119" s="148"/>
      <c r="E119" s="148"/>
      <c r="F119" s="148"/>
      <c r="G119" s="148"/>
    </row>
    <row r="120" ht="15.9" spans="1:7">
      <c r="A120" s="182" t="s">
        <v>221</v>
      </c>
      <c r="B120" s="182"/>
      <c r="C120" s="183" t="s">
        <v>202</v>
      </c>
      <c r="D120" s="184">
        <f>D31</f>
        <v>1986.4</v>
      </c>
      <c r="E120" s="148"/>
      <c r="F120" s="148"/>
      <c r="G120" s="148"/>
    </row>
    <row r="121" ht="15.9" spans="1:7">
      <c r="A121" s="182"/>
      <c r="B121" s="182"/>
      <c r="C121" s="185" t="s">
        <v>211</v>
      </c>
      <c r="D121" s="184">
        <f>D72</f>
        <v>1667.3</v>
      </c>
      <c r="E121" s="148"/>
      <c r="F121" s="148"/>
      <c r="G121" s="148"/>
    </row>
    <row r="122" ht="15.9" spans="1:7">
      <c r="A122" s="182"/>
      <c r="B122" s="182"/>
      <c r="C122" s="183" t="s">
        <v>212</v>
      </c>
      <c r="D122" s="184">
        <f>D82</f>
        <v>123.77</v>
      </c>
      <c r="E122" s="148"/>
      <c r="F122" s="148"/>
      <c r="G122" s="148"/>
    </row>
    <row r="123" ht="15.9" spans="1:7">
      <c r="A123" s="182"/>
      <c r="B123" s="182"/>
      <c r="C123" s="185" t="s">
        <v>222</v>
      </c>
      <c r="D123" s="184">
        <f>D109</f>
        <v>100</v>
      </c>
      <c r="E123" s="148"/>
      <c r="F123" s="148"/>
      <c r="G123" s="148"/>
    </row>
    <row r="124" ht="15.9" spans="1:7">
      <c r="A124" s="182"/>
      <c r="B124" s="182"/>
      <c r="C124" s="183" t="s">
        <v>223</v>
      </c>
      <c r="D124" s="184">
        <f>D118</f>
        <v>461.69</v>
      </c>
      <c r="E124" s="148"/>
      <c r="F124" s="148"/>
      <c r="G124" s="148"/>
    </row>
    <row r="125" ht="15.9" spans="1:7">
      <c r="A125" s="182"/>
      <c r="B125" s="182"/>
      <c r="C125" s="185" t="s">
        <v>204</v>
      </c>
      <c r="D125" s="186">
        <f>TRUNC((SUM(D120:D124)),2)</f>
        <v>4339.16</v>
      </c>
      <c r="E125" s="148"/>
      <c r="F125" s="148"/>
      <c r="G125" s="148"/>
    </row>
    <row r="126" ht="15.15" spans="1:7">
      <c r="A126" s="148"/>
      <c r="B126" s="148"/>
      <c r="C126" s="148"/>
      <c r="D126" s="148"/>
      <c r="E126" s="148"/>
      <c r="F126" s="148"/>
      <c r="G126" s="148"/>
    </row>
    <row r="127" spans="1:7">
      <c r="A127" s="156" t="s">
        <v>164</v>
      </c>
      <c r="B127" s="156"/>
      <c r="C127" s="156"/>
      <c r="D127" s="156"/>
      <c r="E127" s="148"/>
      <c r="F127" s="148"/>
      <c r="G127" s="148"/>
    </row>
    <row r="128" spans="1:7">
      <c r="A128" s="173" t="s">
        <v>165</v>
      </c>
      <c r="B128" s="148" t="s">
        <v>166</v>
      </c>
      <c r="C128" s="173" t="s">
        <v>38</v>
      </c>
      <c r="D128" s="173" t="s">
        <v>19</v>
      </c>
      <c r="E128" s="148"/>
      <c r="F128" s="207" t="s">
        <v>224</v>
      </c>
      <c r="G128" s="207"/>
    </row>
    <row r="129" ht="15.15" spans="1:7">
      <c r="A129" s="173" t="s">
        <v>42</v>
      </c>
      <c r="B129" s="148" t="s">
        <v>167</v>
      </c>
      <c r="C129" s="188">
        <v>0.044</v>
      </c>
      <c r="D129" s="175">
        <f>TRUNC(($D$125*C129),2)</f>
        <v>190.92</v>
      </c>
      <c r="E129" s="148"/>
      <c r="F129" s="208" t="s">
        <v>225</v>
      </c>
      <c r="G129" s="196">
        <f>C131</f>
        <v>0.0865</v>
      </c>
    </row>
    <row r="130" ht="15.15" spans="1:7">
      <c r="A130" s="173" t="s">
        <v>45</v>
      </c>
      <c r="B130" s="148" t="s">
        <v>59</v>
      </c>
      <c r="C130" s="188">
        <v>0.0413</v>
      </c>
      <c r="D130" s="175">
        <f>TRUNC((C130*(D125+D129)),2)</f>
        <v>187.09</v>
      </c>
      <c r="E130" s="148"/>
      <c r="F130" s="209" t="s">
        <v>226</v>
      </c>
      <c r="G130" s="210">
        <f>TRUNC(SUM(D125,D129,D130),2)</f>
        <v>4717.17</v>
      </c>
    </row>
    <row r="131" spans="1:7">
      <c r="A131" s="173" t="s">
        <v>48</v>
      </c>
      <c r="B131" s="148" t="s">
        <v>168</v>
      </c>
      <c r="C131" s="188">
        <f>SUM(C132:C134)</f>
        <v>0.0865</v>
      </c>
      <c r="D131" s="175">
        <f>TRUNC((SUM(D132:D134)),2)</f>
        <v>446.66</v>
      </c>
      <c r="E131" s="148"/>
      <c r="F131" s="208" t="s">
        <v>227</v>
      </c>
      <c r="G131" s="211">
        <f>(100-8.65)/100</f>
        <v>0.9135</v>
      </c>
    </row>
    <row r="132" ht="15.15" spans="1:7">
      <c r="A132" s="173"/>
      <c r="B132" s="148" t="s">
        <v>228</v>
      </c>
      <c r="C132" s="188">
        <v>0.0065</v>
      </c>
      <c r="D132" s="175">
        <f t="shared" ref="D132:D134" si="3">TRUNC(($G$132*C132),2)</f>
        <v>33.56</v>
      </c>
      <c r="E132" s="148"/>
      <c r="F132" s="209" t="s">
        <v>224</v>
      </c>
      <c r="G132" s="210">
        <f>TRUNC((G130/G131),2)</f>
        <v>5163.84</v>
      </c>
    </row>
    <row r="133" ht="15.15" spans="1:7">
      <c r="A133" s="173"/>
      <c r="B133" s="148" t="s">
        <v>229</v>
      </c>
      <c r="C133" s="188">
        <v>0.03</v>
      </c>
      <c r="D133" s="175">
        <f t="shared" si="3"/>
        <v>154.91</v>
      </c>
      <c r="E133" s="148"/>
      <c r="F133" s="148"/>
      <c r="G133" s="148"/>
    </row>
    <row r="134" spans="1:7">
      <c r="A134" s="173"/>
      <c r="B134" s="148" t="s">
        <v>230</v>
      </c>
      <c r="C134" s="188">
        <v>0.05</v>
      </c>
      <c r="D134" s="175">
        <f t="shared" si="3"/>
        <v>258.19</v>
      </c>
      <c r="E134" s="148"/>
      <c r="F134" s="148"/>
      <c r="G134" s="148"/>
    </row>
    <row r="135" spans="1:7">
      <c r="A135" s="173" t="s">
        <v>58</v>
      </c>
      <c r="B135" s="148"/>
      <c r="C135" s="173"/>
      <c r="D135" s="178">
        <f>TRUNC(SUM(D129:D131),2)</f>
        <v>824.67</v>
      </c>
      <c r="E135" s="148"/>
      <c r="F135" s="148"/>
      <c r="G135" s="148"/>
    </row>
    <row r="136" spans="1:7">
      <c r="A136" s="173"/>
      <c r="B136" s="148"/>
      <c r="C136" s="173"/>
      <c r="D136" s="178"/>
      <c r="E136" s="148"/>
      <c r="F136" s="148"/>
      <c r="G136" s="148"/>
    </row>
    <row r="137" spans="1:7">
      <c r="A137" s="148"/>
      <c r="B137" s="148"/>
      <c r="C137" s="148"/>
      <c r="D137" s="148"/>
      <c r="E137" s="148"/>
      <c r="F137" s="148"/>
      <c r="G137" s="148"/>
    </row>
    <row r="138" spans="1:7">
      <c r="A138" s="156" t="s">
        <v>172</v>
      </c>
      <c r="B138" s="156"/>
      <c r="C138" s="156"/>
      <c r="D138" s="156"/>
      <c r="E138" s="148"/>
      <c r="F138" s="148"/>
      <c r="G138" s="148"/>
    </row>
    <row r="139" spans="1:7">
      <c r="A139" s="173" t="s">
        <v>16</v>
      </c>
      <c r="B139" s="173" t="s">
        <v>173</v>
      </c>
      <c r="C139" s="173" t="s">
        <v>102</v>
      </c>
      <c r="D139" s="173" t="s">
        <v>19</v>
      </c>
      <c r="E139" s="148"/>
      <c r="F139" s="148"/>
      <c r="G139" s="148"/>
    </row>
    <row r="140" spans="1:7">
      <c r="A140" s="173" t="s">
        <v>42</v>
      </c>
      <c r="B140" s="148" t="s">
        <v>36</v>
      </c>
      <c r="C140" s="148"/>
      <c r="D140" s="178">
        <f>D31</f>
        <v>1986.4</v>
      </c>
      <c r="E140" s="148"/>
      <c r="F140" s="148"/>
      <c r="G140" s="148"/>
    </row>
    <row r="141" spans="1:7">
      <c r="A141" s="173" t="s">
        <v>45</v>
      </c>
      <c r="B141" s="148" t="s">
        <v>61</v>
      </c>
      <c r="C141" s="148"/>
      <c r="D141" s="178">
        <f>D72</f>
        <v>1667.3</v>
      </c>
      <c r="E141" s="148"/>
      <c r="F141" s="148"/>
      <c r="G141" s="148"/>
    </row>
    <row r="142" spans="1:7">
      <c r="A142" s="173" t="s">
        <v>48</v>
      </c>
      <c r="B142" s="148" t="s">
        <v>108</v>
      </c>
      <c r="C142" s="148"/>
      <c r="D142" s="178">
        <f>D82</f>
        <v>123.77</v>
      </c>
      <c r="E142" s="148"/>
      <c r="F142" s="148"/>
      <c r="G142" s="148"/>
    </row>
    <row r="143" spans="1:7">
      <c r="A143" s="173" t="s">
        <v>50</v>
      </c>
      <c r="B143" s="148" t="s">
        <v>174</v>
      </c>
      <c r="C143" s="148"/>
      <c r="D143" s="178">
        <f>D109</f>
        <v>100</v>
      </c>
      <c r="E143" s="148"/>
      <c r="F143" s="148"/>
      <c r="G143" s="148"/>
    </row>
    <row r="144" spans="1:7">
      <c r="A144" s="173" t="s">
        <v>53</v>
      </c>
      <c r="B144" s="148" t="s">
        <v>152</v>
      </c>
      <c r="C144" s="148"/>
      <c r="D144" s="178">
        <f>D118</f>
        <v>461.69</v>
      </c>
      <c r="E144" s="148"/>
      <c r="F144" s="148"/>
      <c r="G144" s="148"/>
    </row>
    <row r="145" spans="1:7">
      <c r="A145" s="148"/>
      <c r="B145" s="212" t="s">
        <v>175</v>
      </c>
      <c r="C145" s="148"/>
      <c r="D145" s="178">
        <f>TRUNC(SUM(D140:D144),2)</f>
        <v>4339.16</v>
      </c>
      <c r="E145" s="148"/>
      <c r="F145" s="148"/>
      <c r="G145" s="148"/>
    </row>
    <row r="146" spans="1:7">
      <c r="A146" s="173" t="s">
        <v>55</v>
      </c>
      <c r="B146" s="148" t="s">
        <v>164</v>
      </c>
      <c r="C146" s="148"/>
      <c r="D146" s="178">
        <f>D135</f>
        <v>824.67</v>
      </c>
      <c r="E146" s="148"/>
      <c r="F146" s="148"/>
      <c r="G146" s="148"/>
    </row>
    <row r="147" spans="1:7">
      <c r="A147" s="213"/>
      <c r="B147" s="214" t="s">
        <v>231</v>
      </c>
      <c r="C147" s="213"/>
      <c r="D147" s="215">
        <f>TRUNC((SUM(D140:D144)+D146),2)</f>
        <v>5163.83</v>
      </c>
      <c r="E147" s="148"/>
      <c r="F147" s="148"/>
      <c r="G147" s="148"/>
    </row>
    <row r="148" spans="1:7">
      <c r="A148" s="148"/>
      <c r="B148" s="148"/>
      <c r="C148" s="148"/>
      <c r="D148" s="148"/>
      <c r="E148" s="148"/>
      <c r="F148" s="148"/>
      <c r="G148" s="148"/>
    </row>
    <row r="149" spans="1:7">
      <c r="A149" s="148"/>
      <c r="B149" s="148"/>
      <c r="C149" s="148"/>
      <c r="D149" s="148"/>
      <c r="E149" s="148"/>
      <c r="F149" s="148"/>
      <c r="G149" s="148"/>
    </row>
    <row r="150" spans="1:7">
      <c r="A150" s="148"/>
      <c r="B150" s="148"/>
      <c r="C150" s="148"/>
      <c r="D150" s="148"/>
      <c r="E150" s="148"/>
      <c r="F150" s="148"/>
      <c r="G150" s="148"/>
    </row>
    <row r="151" spans="1:7">
      <c r="A151" s="148"/>
      <c r="B151" s="148"/>
      <c r="C151" s="148"/>
      <c r="D151" s="148"/>
      <c r="E151" s="148"/>
      <c r="F151" s="148"/>
      <c r="G151" s="148"/>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2"/>
  <sheetViews>
    <sheetView workbookViewId="0">
      <selection activeCell="B1" sqref="B1:E23"/>
    </sheetView>
  </sheetViews>
  <sheetFormatPr defaultColWidth="8.88888888888889" defaultRowHeight="14.4"/>
  <cols>
    <col min="2" max="2" width="36.3333333333333" customWidth="1"/>
    <col min="3" max="3" width="24.1111111111111" customWidth="1"/>
    <col min="4" max="4" width="13" customWidth="1"/>
    <col min="5" max="5" width="30.6666666666667" customWidth="1"/>
    <col min="9" max="9" width="22.5555555555556" customWidth="1"/>
    <col min="10" max="10" width="17.7777777777778" customWidth="1"/>
  </cols>
  <sheetData>
    <row r="1" ht="16.35" spans="2:10">
      <c r="B1" s="90" t="s">
        <v>249</v>
      </c>
      <c r="C1" s="91"/>
      <c r="D1" s="91"/>
      <c r="E1" s="92"/>
      <c r="F1" s="8"/>
      <c r="G1" s="8"/>
      <c r="H1" s="8"/>
      <c r="I1" s="8"/>
      <c r="J1" s="8"/>
    </row>
    <row r="2" ht="32.7" spans="2:10">
      <c r="B2" s="93" t="s">
        <v>250</v>
      </c>
      <c r="C2" s="94" t="s">
        <v>251</v>
      </c>
      <c r="D2" s="95" t="s">
        <v>252</v>
      </c>
      <c r="E2" s="96"/>
      <c r="F2" s="8"/>
      <c r="G2" s="8"/>
      <c r="H2" s="8"/>
      <c r="I2" s="8"/>
      <c r="J2" s="8"/>
    </row>
    <row r="3" ht="17.1" spans="2:10">
      <c r="B3" s="97" t="s">
        <v>253</v>
      </c>
      <c r="C3" s="98" t="s">
        <v>254</v>
      </c>
      <c r="D3" s="99" t="s">
        <v>255</v>
      </c>
      <c r="E3" s="100"/>
      <c r="F3" s="8"/>
      <c r="G3" s="8"/>
      <c r="H3" s="8"/>
      <c r="I3" s="8"/>
      <c r="J3" s="8"/>
    </row>
    <row r="4" ht="17.1" spans="2:10">
      <c r="B4" s="101">
        <f>RESUMO!D7</f>
        <v>120</v>
      </c>
      <c r="C4" s="102">
        <f>E19</f>
        <v>190.08</v>
      </c>
      <c r="D4" s="103">
        <f>TRUNC((B4*C4),2)</f>
        <v>22809.6</v>
      </c>
      <c r="E4" s="104"/>
      <c r="F4" s="8"/>
      <c r="G4" s="8"/>
      <c r="H4" s="105"/>
      <c r="I4" s="105"/>
      <c r="J4" s="105"/>
    </row>
    <row r="5" ht="17.1" spans="2:10">
      <c r="B5" s="106"/>
      <c r="C5" s="107"/>
      <c r="D5" s="107"/>
      <c r="E5" s="108"/>
      <c r="F5" s="8"/>
      <c r="G5" s="8"/>
      <c r="H5" s="105"/>
      <c r="I5" s="140" t="s">
        <v>224</v>
      </c>
      <c r="J5" s="141"/>
    </row>
    <row r="6" ht="17.1" spans="2:10">
      <c r="B6" s="106"/>
      <c r="C6" s="107"/>
      <c r="D6" s="107"/>
      <c r="E6" s="108"/>
      <c r="F6" s="8"/>
      <c r="G6" s="8"/>
      <c r="H6" s="105"/>
      <c r="I6" s="142" t="s">
        <v>225</v>
      </c>
      <c r="J6" s="143">
        <f>D18</f>
        <v>0.0865</v>
      </c>
    </row>
    <row r="7" ht="16.35" spans="2:10">
      <c r="B7" s="90" t="s">
        <v>256</v>
      </c>
      <c r="C7" s="91"/>
      <c r="D7" s="91"/>
      <c r="E7" s="92"/>
      <c r="F7" s="8"/>
      <c r="G7" s="8"/>
      <c r="H7" s="105"/>
      <c r="I7" s="144" t="s">
        <v>257</v>
      </c>
      <c r="J7" s="145">
        <f>E13</f>
        <v>173.64</v>
      </c>
    </row>
    <row r="8" ht="17.1" spans="2:10">
      <c r="B8" s="94" t="s">
        <v>258</v>
      </c>
      <c r="C8" s="94"/>
      <c r="D8" s="94"/>
      <c r="E8" s="109">
        <v>160</v>
      </c>
      <c r="F8" s="8"/>
      <c r="G8" s="8"/>
      <c r="H8" s="105"/>
      <c r="I8" s="142" t="s">
        <v>259</v>
      </c>
      <c r="J8" s="146">
        <f>(1-J6)</f>
        <v>0.9135</v>
      </c>
    </row>
    <row r="9" ht="16.35" spans="2:10">
      <c r="B9" s="110" t="s">
        <v>260</v>
      </c>
      <c r="C9" s="111"/>
      <c r="D9" s="112" t="s">
        <v>261</v>
      </c>
      <c r="E9" s="113" t="s">
        <v>262</v>
      </c>
      <c r="F9" s="8"/>
      <c r="G9" s="8"/>
      <c r="H9" s="105"/>
      <c r="I9" s="147"/>
      <c r="J9" s="147"/>
    </row>
    <row r="10" ht="15.6" spans="2:10">
      <c r="B10" s="114" t="s">
        <v>263</v>
      </c>
      <c r="C10" s="115"/>
      <c r="D10" s="116">
        <f>'Motorista Interestadual'!C129</f>
        <v>0.044</v>
      </c>
      <c r="E10" s="117">
        <f>TRUNC((E8*D10),2)</f>
        <v>7.04</v>
      </c>
      <c r="F10" s="8"/>
      <c r="G10" s="8"/>
      <c r="H10" s="105"/>
      <c r="I10" s="147"/>
      <c r="J10" s="147"/>
    </row>
    <row r="11" ht="16.35" spans="2:10">
      <c r="B11" s="118" t="s">
        <v>264</v>
      </c>
      <c r="C11" s="119"/>
      <c r="D11" s="116">
        <f>'Motorista Interestadual'!C130</f>
        <v>0.0413</v>
      </c>
      <c r="E11" s="117">
        <f>TRUNC((E8*D11),2)</f>
        <v>6.6</v>
      </c>
      <c r="F11" s="8"/>
      <c r="G11" s="8"/>
      <c r="H11" s="105"/>
      <c r="I11" s="105"/>
      <c r="J11" s="105"/>
    </row>
    <row r="12" ht="17.1" spans="2:10">
      <c r="B12" s="120" t="s">
        <v>265</v>
      </c>
      <c r="C12" s="95"/>
      <c r="D12" s="96"/>
      <c r="E12" s="121">
        <f>TRUNC((SUM(E10:E11)),2)</f>
        <v>13.64</v>
      </c>
      <c r="F12" s="8"/>
      <c r="G12" s="8"/>
      <c r="H12" s="105"/>
      <c r="I12" s="105"/>
      <c r="J12" s="105"/>
    </row>
    <row r="13" ht="17.1" spans="2:10">
      <c r="B13" s="122" t="s">
        <v>204</v>
      </c>
      <c r="C13" s="123"/>
      <c r="D13" s="124"/>
      <c r="E13" s="121">
        <f>TRUNC((E8+E12),2)</f>
        <v>173.64</v>
      </c>
      <c r="F13" s="8"/>
      <c r="G13" s="8"/>
      <c r="H13" s="105"/>
      <c r="I13" s="105"/>
      <c r="J13" s="105"/>
    </row>
    <row r="14" ht="16.35" spans="2:10">
      <c r="B14" s="125" t="s">
        <v>266</v>
      </c>
      <c r="C14" s="126"/>
      <c r="D14" s="127" t="s">
        <v>261</v>
      </c>
      <c r="E14" s="128" t="s">
        <v>267</v>
      </c>
      <c r="F14" s="8"/>
      <c r="G14" s="8"/>
      <c r="H14" s="8"/>
      <c r="I14" s="8"/>
      <c r="J14" s="8"/>
    </row>
    <row r="15" ht="15.6" spans="2:10">
      <c r="B15" s="114" t="s">
        <v>64</v>
      </c>
      <c r="C15" s="115"/>
      <c r="D15" s="116">
        <f>'Motorista Interestadual'!C132</f>
        <v>0.0065</v>
      </c>
      <c r="E15" s="117">
        <f>(J7/J8)*(D15)</f>
        <v>1.23553366174056</v>
      </c>
      <c r="F15" s="8"/>
      <c r="G15" s="8"/>
      <c r="H15" s="8"/>
      <c r="I15" s="8"/>
      <c r="J15" s="8"/>
    </row>
    <row r="16" ht="15.6" spans="2:10">
      <c r="B16" s="118" t="s">
        <v>62</v>
      </c>
      <c r="C16" s="119"/>
      <c r="D16" s="116">
        <f>'Motorista Interestadual'!C133</f>
        <v>0.03</v>
      </c>
      <c r="E16" s="117">
        <f>(J7/J8)*(D16)</f>
        <v>5.70246305418719</v>
      </c>
      <c r="F16" s="8"/>
      <c r="G16" s="8"/>
      <c r="H16" s="8"/>
      <c r="I16" s="8"/>
      <c r="J16" s="8"/>
    </row>
    <row r="17" ht="15.6" spans="2:10">
      <c r="B17" s="114" t="s">
        <v>60</v>
      </c>
      <c r="C17" s="115"/>
      <c r="D17" s="116">
        <f>'Motorista Interestadual'!C134</f>
        <v>0.05</v>
      </c>
      <c r="E17" s="129">
        <f>(E13/J8)*(D17)</f>
        <v>9.50410509031199</v>
      </c>
      <c r="F17" s="8"/>
      <c r="G17" s="8"/>
      <c r="H17" s="8"/>
      <c r="I17" s="8"/>
      <c r="J17" s="8"/>
    </row>
    <row r="18" ht="16.35" spans="2:10">
      <c r="B18" s="130" t="s">
        <v>225</v>
      </c>
      <c r="C18" s="131"/>
      <c r="D18" s="132">
        <f>SUM(D15:D17)</f>
        <v>0.0865</v>
      </c>
      <c r="E18" s="133">
        <f>SUM(E15:E17)</f>
        <v>16.4421018062397</v>
      </c>
      <c r="F18" s="8"/>
      <c r="G18" s="8"/>
      <c r="H18" s="8"/>
      <c r="I18" s="8"/>
      <c r="J18" s="8"/>
    </row>
    <row r="19" ht="17.1" spans="2:10">
      <c r="B19" s="134" t="s">
        <v>204</v>
      </c>
      <c r="C19" s="135"/>
      <c r="D19" s="136"/>
      <c r="E19" s="137">
        <f>TRUNC((E13+E18),2)</f>
        <v>190.08</v>
      </c>
      <c r="F19" s="8"/>
      <c r="G19" s="8"/>
      <c r="H19" s="8"/>
      <c r="I19" s="8"/>
      <c r="J19" s="8"/>
    </row>
    <row r="20" ht="15.15" spans="2:10">
      <c r="B20" s="138"/>
      <c r="C20" s="138"/>
      <c r="D20" s="138"/>
      <c r="E20" s="138"/>
      <c r="F20" s="8"/>
      <c r="G20" s="8"/>
      <c r="H20" s="8"/>
      <c r="I20" s="8"/>
      <c r="J20" s="8"/>
    </row>
    <row r="21" spans="2:10">
      <c r="B21" s="139" t="s">
        <v>268</v>
      </c>
      <c r="C21" s="139"/>
      <c r="D21" s="139"/>
      <c r="E21" s="139"/>
      <c r="F21" s="8"/>
      <c r="G21" s="8"/>
      <c r="H21" s="8"/>
      <c r="I21" s="8"/>
      <c r="J21" s="8"/>
    </row>
    <row r="22" spans="2:10">
      <c r="B22" s="139" t="s">
        <v>269</v>
      </c>
      <c r="C22" s="139"/>
      <c r="D22" s="139"/>
      <c r="E22" s="139"/>
      <c r="F22" s="8"/>
      <c r="G22" s="8"/>
      <c r="H22" s="8"/>
      <c r="I22" s="8"/>
      <c r="J22" s="8"/>
    </row>
  </sheetData>
  <mergeCells count="20">
    <mergeCell ref="B1:E1"/>
    <mergeCell ref="D2:E2"/>
    <mergeCell ref="D3:E3"/>
    <mergeCell ref="D4:E4"/>
    <mergeCell ref="I5:J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0"/>
  <sheetViews>
    <sheetView zoomScale="90" zoomScaleNormal="90" topLeftCell="A54" workbookViewId="0">
      <selection activeCell="G59" sqref="G59:H59"/>
    </sheetView>
  </sheetViews>
  <sheetFormatPr defaultColWidth="9.13888888888889" defaultRowHeight="14.4" outlineLevelCol="7"/>
  <cols>
    <col min="2" max="2" width="13.1574074074074" style="71" customWidth="1"/>
    <col min="3" max="3" width="39.3611111111111" customWidth="1"/>
    <col min="4" max="4" width="11.1111111111111" style="72" customWidth="1"/>
    <col min="5" max="5" width="9.71296296296296" customWidth="1"/>
    <col min="6" max="6" width="16.5462962962963" customWidth="1"/>
    <col min="7" max="7" width="15.0555555555556" customWidth="1"/>
    <col min="8" max="8" width="15.1851851851852" customWidth="1"/>
  </cols>
  <sheetData>
    <row r="1" spans="1:8">
      <c r="A1" s="73" t="s">
        <v>270</v>
      </c>
      <c r="B1" s="74"/>
      <c r="C1" s="73"/>
      <c r="D1" s="75"/>
      <c r="E1" s="73"/>
      <c r="F1" s="73"/>
      <c r="G1" s="73"/>
      <c r="H1" s="73"/>
    </row>
    <row r="2" spans="1:8">
      <c r="A2" s="76" t="s">
        <v>271</v>
      </c>
      <c r="B2" s="77"/>
      <c r="C2" s="76"/>
      <c r="D2" s="78"/>
      <c r="E2" s="76"/>
      <c r="F2" s="76"/>
      <c r="G2" s="76"/>
      <c r="H2" s="76"/>
    </row>
    <row r="3" ht="57.6" spans="1:8">
      <c r="A3" s="79" t="s">
        <v>272</v>
      </c>
      <c r="B3" s="79" t="s">
        <v>273</v>
      </c>
      <c r="C3" s="79" t="s">
        <v>274</v>
      </c>
      <c r="D3" s="79" t="s">
        <v>275</v>
      </c>
      <c r="E3" s="79" t="s">
        <v>276</v>
      </c>
      <c r="F3" s="79" t="s">
        <v>277</v>
      </c>
      <c r="G3" s="79" t="s">
        <v>278</v>
      </c>
      <c r="H3" s="79" t="s">
        <v>279</v>
      </c>
    </row>
    <row r="4" ht="27.6" spans="1:8">
      <c r="A4" s="80">
        <v>1</v>
      </c>
      <c r="B4" s="16" t="s">
        <v>280</v>
      </c>
      <c r="C4" s="81" t="s">
        <v>281</v>
      </c>
      <c r="D4" s="16" t="s">
        <v>282</v>
      </c>
      <c r="E4" s="82">
        <v>62.9</v>
      </c>
      <c r="F4" s="16">
        <v>4</v>
      </c>
      <c r="G4" s="83">
        <f t="shared" ref="G4:G10" si="0">TRUNC(F4*E4,2)</f>
        <v>251.6</v>
      </c>
      <c r="H4" s="83">
        <f t="shared" ref="H4:H10" si="1">TRUNC(G4/12,2)</f>
        <v>20.96</v>
      </c>
    </row>
    <row r="5" ht="41.4" spans="1:8">
      <c r="A5" s="80">
        <v>2</v>
      </c>
      <c r="B5" s="16" t="s">
        <v>283</v>
      </c>
      <c r="C5" s="81" t="s">
        <v>284</v>
      </c>
      <c r="D5" s="16" t="s">
        <v>282</v>
      </c>
      <c r="E5" s="82">
        <v>145</v>
      </c>
      <c r="F5" s="16">
        <v>2</v>
      </c>
      <c r="G5" s="83">
        <f t="shared" si="0"/>
        <v>290</v>
      </c>
      <c r="H5" s="83">
        <f t="shared" si="1"/>
        <v>24.16</v>
      </c>
    </row>
    <row r="6" ht="55.2" spans="1:8">
      <c r="A6" s="80">
        <v>3</v>
      </c>
      <c r="B6" s="16" t="s">
        <v>285</v>
      </c>
      <c r="C6" s="81" t="s">
        <v>286</v>
      </c>
      <c r="D6" s="16" t="s">
        <v>282</v>
      </c>
      <c r="E6" s="82">
        <v>66.98</v>
      </c>
      <c r="F6" s="16">
        <v>4</v>
      </c>
      <c r="G6" s="83">
        <f t="shared" si="0"/>
        <v>267.92</v>
      </c>
      <c r="H6" s="83">
        <f t="shared" si="1"/>
        <v>22.32</v>
      </c>
    </row>
    <row r="7" ht="55.2" spans="1:8">
      <c r="A7" s="80">
        <v>4</v>
      </c>
      <c r="B7" s="16" t="s">
        <v>285</v>
      </c>
      <c r="C7" s="81" t="s">
        <v>287</v>
      </c>
      <c r="D7" s="16" t="s">
        <v>282</v>
      </c>
      <c r="E7" s="82">
        <v>24.99</v>
      </c>
      <c r="F7" s="16">
        <v>4</v>
      </c>
      <c r="G7" s="83">
        <f t="shared" si="0"/>
        <v>99.96</v>
      </c>
      <c r="H7" s="83">
        <f t="shared" si="1"/>
        <v>8.33</v>
      </c>
    </row>
    <row r="8" ht="27.6" spans="1:8">
      <c r="A8" s="80">
        <v>5</v>
      </c>
      <c r="B8" s="16" t="s">
        <v>288</v>
      </c>
      <c r="C8" s="81" t="s">
        <v>289</v>
      </c>
      <c r="D8" s="16" t="s">
        <v>290</v>
      </c>
      <c r="E8" s="82">
        <v>79.29</v>
      </c>
      <c r="F8" s="16">
        <v>2</v>
      </c>
      <c r="G8" s="83">
        <f t="shared" si="0"/>
        <v>158.58</v>
      </c>
      <c r="H8" s="83">
        <f t="shared" si="1"/>
        <v>13.21</v>
      </c>
    </row>
    <row r="9" ht="41.4" spans="1:8">
      <c r="A9" s="80">
        <v>6</v>
      </c>
      <c r="B9" s="16" t="s">
        <v>291</v>
      </c>
      <c r="C9" s="81" t="s">
        <v>292</v>
      </c>
      <c r="D9" s="16" t="s">
        <v>290</v>
      </c>
      <c r="E9" s="82">
        <v>8.82</v>
      </c>
      <c r="F9" s="16">
        <v>4</v>
      </c>
      <c r="G9" s="83">
        <f t="shared" si="0"/>
        <v>35.28</v>
      </c>
      <c r="H9" s="83">
        <f t="shared" si="1"/>
        <v>2.94</v>
      </c>
    </row>
    <row r="10" ht="41.4" spans="1:8">
      <c r="A10" s="80">
        <v>7</v>
      </c>
      <c r="B10" s="16" t="s">
        <v>293</v>
      </c>
      <c r="C10" s="81" t="s">
        <v>294</v>
      </c>
      <c r="D10" s="16" t="s">
        <v>282</v>
      </c>
      <c r="E10" s="82">
        <v>5.8</v>
      </c>
      <c r="F10" s="16">
        <v>1</v>
      </c>
      <c r="G10" s="83">
        <f t="shared" si="0"/>
        <v>5.8</v>
      </c>
      <c r="H10" s="83">
        <f t="shared" si="1"/>
        <v>0.48</v>
      </c>
    </row>
    <row r="11" spans="1:8">
      <c r="A11" s="18" t="s">
        <v>204</v>
      </c>
      <c r="B11" s="18"/>
      <c r="C11" s="18"/>
      <c r="D11" s="18"/>
      <c r="E11" s="18"/>
      <c r="F11" s="18"/>
      <c r="G11" s="19">
        <f>TRUNC(SUM(H4:H10),2)</f>
        <v>92.4</v>
      </c>
      <c r="H11" s="19"/>
    </row>
    <row r="14" spans="1:8">
      <c r="A14" s="73" t="s">
        <v>270</v>
      </c>
      <c r="B14" s="74"/>
      <c r="C14" s="73"/>
      <c r="D14" s="75"/>
      <c r="E14" s="73"/>
      <c r="F14" s="73"/>
      <c r="G14" s="73"/>
      <c r="H14" s="73"/>
    </row>
    <row r="15" spans="1:8">
      <c r="A15" s="76" t="s">
        <v>295</v>
      </c>
      <c r="B15" s="77"/>
      <c r="C15" s="76"/>
      <c r="D15" s="78"/>
      <c r="E15" s="76"/>
      <c r="F15" s="76"/>
      <c r="G15" s="76"/>
      <c r="H15" s="76"/>
    </row>
    <row r="16" ht="57.6" spans="1:8">
      <c r="A16" s="79" t="s">
        <v>272</v>
      </c>
      <c r="B16" s="79" t="s">
        <v>273</v>
      </c>
      <c r="C16" s="79" t="s">
        <v>274</v>
      </c>
      <c r="D16" s="79" t="s">
        <v>275</v>
      </c>
      <c r="E16" s="79" t="s">
        <v>276</v>
      </c>
      <c r="F16" s="79" t="s">
        <v>277</v>
      </c>
      <c r="G16" s="79" t="s">
        <v>278</v>
      </c>
      <c r="H16" s="79" t="s">
        <v>279</v>
      </c>
    </row>
    <row r="17" ht="27.6" spans="1:8">
      <c r="A17" s="80">
        <v>1</v>
      </c>
      <c r="B17" s="16" t="s">
        <v>280</v>
      </c>
      <c r="C17" s="81" t="s">
        <v>281</v>
      </c>
      <c r="D17" s="16" t="s">
        <v>282</v>
      </c>
      <c r="E17" s="82">
        <v>62.9</v>
      </c>
      <c r="F17" s="16">
        <v>4</v>
      </c>
      <c r="G17" s="83">
        <f t="shared" ref="G17:G23" si="2">TRUNC(F17*E17,2)</f>
        <v>251.6</v>
      </c>
      <c r="H17" s="83">
        <f t="shared" ref="H17:H23" si="3">TRUNC(G17/12,2)</f>
        <v>20.96</v>
      </c>
    </row>
    <row r="18" ht="55.2" spans="1:8">
      <c r="A18" s="80">
        <v>2</v>
      </c>
      <c r="B18" s="16" t="s">
        <v>285</v>
      </c>
      <c r="C18" s="81" t="s">
        <v>286</v>
      </c>
      <c r="D18" s="16" t="s">
        <v>282</v>
      </c>
      <c r="E18" s="82">
        <v>66.98</v>
      </c>
      <c r="F18" s="16">
        <v>4</v>
      </c>
      <c r="G18" s="83">
        <f t="shared" si="2"/>
        <v>267.92</v>
      </c>
      <c r="H18" s="83">
        <f t="shared" si="3"/>
        <v>22.32</v>
      </c>
    </row>
    <row r="19" ht="55.2" spans="1:8">
      <c r="A19" s="80">
        <v>3</v>
      </c>
      <c r="B19" s="16" t="s">
        <v>285</v>
      </c>
      <c r="C19" s="81" t="s">
        <v>287</v>
      </c>
      <c r="D19" s="16" t="s">
        <v>282</v>
      </c>
      <c r="E19" s="82">
        <v>24.99</v>
      </c>
      <c r="F19" s="16">
        <v>4</v>
      </c>
      <c r="G19" s="83">
        <f t="shared" si="2"/>
        <v>99.96</v>
      </c>
      <c r="H19" s="83">
        <f t="shared" si="3"/>
        <v>8.33</v>
      </c>
    </row>
    <row r="20" ht="27.6" spans="1:8">
      <c r="A20" s="80">
        <v>4</v>
      </c>
      <c r="B20" s="16" t="s">
        <v>288</v>
      </c>
      <c r="C20" s="81" t="s">
        <v>289</v>
      </c>
      <c r="D20" s="16" t="s">
        <v>290</v>
      </c>
      <c r="E20" s="82">
        <v>79.29</v>
      </c>
      <c r="F20" s="16">
        <v>2</v>
      </c>
      <c r="G20" s="83">
        <f t="shared" si="2"/>
        <v>158.58</v>
      </c>
      <c r="H20" s="83">
        <f t="shared" si="3"/>
        <v>13.21</v>
      </c>
    </row>
    <row r="21" ht="41.4" spans="1:8">
      <c r="A21" s="80">
        <v>5</v>
      </c>
      <c r="B21" s="16" t="s">
        <v>291</v>
      </c>
      <c r="C21" s="81" t="s">
        <v>292</v>
      </c>
      <c r="D21" s="16" t="s">
        <v>290</v>
      </c>
      <c r="E21" s="82">
        <v>8.82</v>
      </c>
      <c r="F21" s="16">
        <v>4</v>
      </c>
      <c r="G21" s="83">
        <f t="shared" si="2"/>
        <v>35.28</v>
      </c>
      <c r="H21" s="83">
        <f t="shared" si="3"/>
        <v>2.94</v>
      </c>
    </row>
    <row r="22" ht="28.8" spans="1:8">
      <c r="A22" s="80">
        <v>6</v>
      </c>
      <c r="B22" s="16" t="s">
        <v>296</v>
      </c>
      <c r="C22" s="84" t="s">
        <v>297</v>
      </c>
      <c r="D22" s="16" t="s">
        <v>282</v>
      </c>
      <c r="E22" s="82">
        <v>20.23</v>
      </c>
      <c r="F22" s="16">
        <v>2</v>
      </c>
      <c r="G22" s="83">
        <f t="shared" si="2"/>
        <v>40.46</v>
      </c>
      <c r="H22" s="83">
        <f t="shared" si="3"/>
        <v>3.37</v>
      </c>
    </row>
    <row r="23" ht="41.4" spans="1:8">
      <c r="A23" s="80">
        <v>7</v>
      </c>
      <c r="B23" s="16" t="s">
        <v>293</v>
      </c>
      <c r="C23" s="81" t="s">
        <v>294</v>
      </c>
      <c r="D23" s="16" t="s">
        <v>282</v>
      </c>
      <c r="E23" s="82">
        <v>5.8</v>
      </c>
      <c r="F23" s="16">
        <v>1</v>
      </c>
      <c r="G23" s="83">
        <f t="shared" si="2"/>
        <v>5.8</v>
      </c>
      <c r="H23" s="83">
        <f t="shared" si="3"/>
        <v>0.48</v>
      </c>
    </row>
    <row r="24" spans="1:8">
      <c r="A24" s="18" t="s">
        <v>204</v>
      </c>
      <c r="B24" s="18"/>
      <c r="C24" s="18"/>
      <c r="D24" s="18"/>
      <c r="E24" s="18"/>
      <c r="F24" s="18"/>
      <c r="G24" s="19">
        <f>TRUNC(SUM(H17:H23),2)</f>
        <v>71.61</v>
      </c>
      <c r="H24" s="19"/>
    </row>
    <row r="27" spans="1:8">
      <c r="A27" s="73" t="s">
        <v>270</v>
      </c>
      <c r="B27" s="74"/>
      <c r="C27" s="73"/>
      <c r="D27" s="75"/>
      <c r="E27" s="73"/>
      <c r="F27" s="73"/>
      <c r="G27" s="73"/>
      <c r="H27" s="73"/>
    </row>
    <row r="28" spans="1:8">
      <c r="A28" s="76" t="s">
        <v>298</v>
      </c>
      <c r="B28" s="77"/>
      <c r="C28" s="76"/>
      <c r="D28" s="78"/>
      <c r="E28" s="76"/>
      <c r="F28" s="76"/>
      <c r="G28" s="76"/>
      <c r="H28" s="76"/>
    </row>
    <row r="29" ht="57.6" spans="1:8">
      <c r="A29" s="79" t="s">
        <v>272</v>
      </c>
      <c r="B29" s="79" t="s">
        <v>273</v>
      </c>
      <c r="C29" s="79" t="s">
        <v>274</v>
      </c>
      <c r="D29" s="79" t="s">
        <v>275</v>
      </c>
      <c r="E29" s="79" t="s">
        <v>276</v>
      </c>
      <c r="F29" s="79" t="s">
        <v>277</v>
      </c>
      <c r="G29" s="79" t="s">
        <v>278</v>
      </c>
      <c r="H29" s="79" t="s">
        <v>279</v>
      </c>
    </row>
    <row r="30" ht="27.6" spans="1:8">
      <c r="A30" s="80">
        <v>1</v>
      </c>
      <c r="B30" s="16" t="s">
        <v>280</v>
      </c>
      <c r="C30" s="81" t="s">
        <v>299</v>
      </c>
      <c r="D30" s="16" t="s">
        <v>282</v>
      </c>
      <c r="E30" s="82">
        <v>62.9</v>
      </c>
      <c r="F30" s="16">
        <v>4</v>
      </c>
      <c r="G30" s="83">
        <f t="shared" ref="G30:G36" si="4">TRUNC(F30*E30,2)</f>
        <v>251.6</v>
      </c>
      <c r="H30" s="83">
        <f t="shared" ref="H30:H36" si="5">TRUNC(G30/12,2)</f>
        <v>20.96</v>
      </c>
    </row>
    <row r="31" ht="55.2" spans="1:8">
      <c r="A31" s="80">
        <v>2</v>
      </c>
      <c r="B31" s="16" t="s">
        <v>285</v>
      </c>
      <c r="C31" s="81" t="s">
        <v>286</v>
      </c>
      <c r="D31" s="16" t="s">
        <v>282</v>
      </c>
      <c r="E31" s="82">
        <v>66.98</v>
      </c>
      <c r="F31" s="16">
        <v>4</v>
      </c>
      <c r="G31" s="83">
        <f t="shared" si="4"/>
        <v>267.92</v>
      </c>
      <c r="H31" s="83">
        <f t="shared" si="5"/>
        <v>22.32</v>
      </c>
    </row>
    <row r="32" ht="55.2" spans="1:8">
      <c r="A32" s="80">
        <v>3</v>
      </c>
      <c r="B32" s="16" t="s">
        <v>285</v>
      </c>
      <c r="C32" s="81" t="s">
        <v>287</v>
      </c>
      <c r="D32" s="16" t="s">
        <v>282</v>
      </c>
      <c r="E32" s="82">
        <v>24.99</v>
      </c>
      <c r="F32" s="16">
        <v>4</v>
      </c>
      <c r="G32" s="83">
        <f t="shared" si="4"/>
        <v>99.96</v>
      </c>
      <c r="H32" s="83">
        <f t="shared" si="5"/>
        <v>8.33</v>
      </c>
    </row>
    <row r="33" ht="82.8" spans="1:8">
      <c r="A33" s="80">
        <v>4</v>
      </c>
      <c r="B33" s="85" t="s">
        <v>300</v>
      </c>
      <c r="C33" s="81" t="s">
        <v>301</v>
      </c>
      <c r="D33" s="16" t="s">
        <v>290</v>
      </c>
      <c r="E33" s="82">
        <v>23.36</v>
      </c>
      <c r="F33" s="16">
        <v>2</v>
      </c>
      <c r="G33" s="83">
        <f t="shared" si="4"/>
        <v>46.72</v>
      </c>
      <c r="H33" s="83">
        <f t="shared" si="5"/>
        <v>3.89</v>
      </c>
    </row>
    <row r="34" ht="27.6" spans="1:8">
      <c r="A34" s="80">
        <v>5</v>
      </c>
      <c r="B34" s="16" t="s">
        <v>288</v>
      </c>
      <c r="C34" s="81" t="s">
        <v>289</v>
      </c>
      <c r="D34" s="16" t="s">
        <v>290</v>
      </c>
      <c r="E34" s="82">
        <v>79.29</v>
      </c>
      <c r="F34" s="16">
        <v>2</v>
      </c>
      <c r="G34" s="83">
        <f t="shared" si="4"/>
        <v>158.58</v>
      </c>
      <c r="H34" s="83">
        <f t="shared" si="5"/>
        <v>13.21</v>
      </c>
    </row>
    <row r="35" ht="41.4" spans="1:8">
      <c r="A35" s="80">
        <v>6</v>
      </c>
      <c r="B35" s="16" t="s">
        <v>291</v>
      </c>
      <c r="C35" s="81" t="s">
        <v>292</v>
      </c>
      <c r="D35" s="16" t="s">
        <v>290</v>
      </c>
      <c r="E35" s="82">
        <v>8.82</v>
      </c>
      <c r="F35" s="16">
        <v>4</v>
      </c>
      <c r="G35" s="83">
        <f t="shared" si="4"/>
        <v>35.28</v>
      </c>
      <c r="H35" s="83">
        <f t="shared" si="5"/>
        <v>2.94</v>
      </c>
    </row>
    <row r="36" ht="41.4" spans="1:8">
      <c r="A36" s="80">
        <v>7</v>
      </c>
      <c r="B36" s="16" t="s">
        <v>293</v>
      </c>
      <c r="C36" s="81" t="s">
        <v>294</v>
      </c>
      <c r="D36" s="16" t="s">
        <v>282</v>
      </c>
      <c r="E36" s="82">
        <v>5.8</v>
      </c>
      <c r="F36" s="16">
        <v>1</v>
      </c>
      <c r="G36" s="83">
        <f t="shared" si="4"/>
        <v>5.8</v>
      </c>
      <c r="H36" s="83">
        <f t="shared" si="5"/>
        <v>0.48</v>
      </c>
    </row>
    <row r="37" spans="1:8">
      <c r="A37" s="18" t="s">
        <v>204</v>
      </c>
      <c r="B37" s="18"/>
      <c r="C37" s="18"/>
      <c r="D37" s="18"/>
      <c r="E37" s="18"/>
      <c r="F37" s="18"/>
      <c r="G37" s="19">
        <f>TRUNC(SUM(H30:H36),2)</f>
        <v>72.13</v>
      </c>
      <c r="H37" s="19"/>
    </row>
    <row r="40" spans="1:8">
      <c r="A40" s="73" t="s">
        <v>302</v>
      </c>
      <c r="B40" s="74"/>
      <c r="C40" s="73"/>
      <c r="D40" s="75"/>
      <c r="E40" s="73"/>
      <c r="F40" s="73"/>
      <c r="G40" s="73"/>
      <c r="H40" s="73"/>
    </row>
    <row r="41" spans="1:8">
      <c r="A41" s="76" t="s">
        <v>303</v>
      </c>
      <c r="B41" s="77"/>
      <c r="C41" s="76"/>
      <c r="D41" s="78"/>
      <c r="E41" s="76"/>
      <c r="F41" s="76"/>
      <c r="G41" s="76"/>
      <c r="H41" s="76"/>
    </row>
    <row r="42" ht="57.6" spans="1:8">
      <c r="A42" s="79" t="s">
        <v>272</v>
      </c>
      <c r="B42" s="79" t="s">
        <v>273</v>
      </c>
      <c r="C42" s="79" t="s">
        <v>274</v>
      </c>
      <c r="D42" s="79" t="s">
        <v>275</v>
      </c>
      <c r="E42" s="79" t="s">
        <v>276</v>
      </c>
      <c r="F42" s="79" t="s">
        <v>277</v>
      </c>
      <c r="G42" s="79" t="s">
        <v>278</v>
      </c>
      <c r="H42" s="79" t="s">
        <v>279</v>
      </c>
    </row>
    <row r="43" ht="82.8" spans="1:8">
      <c r="A43" s="80">
        <v>1</v>
      </c>
      <c r="B43" s="16" t="s">
        <v>280</v>
      </c>
      <c r="C43" s="84" t="s">
        <v>304</v>
      </c>
      <c r="D43" s="16" t="s">
        <v>282</v>
      </c>
      <c r="E43" s="82">
        <v>131.61</v>
      </c>
      <c r="F43" s="16">
        <v>4</v>
      </c>
      <c r="G43" s="83">
        <f>TRUNC(F43*E43,2)</f>
        <v>526.44</v>
      </c>
      <c r="H43" s="83">
        <f>TRUNC(G43/12,2)</f>
        <v>43.87</v>
      </c>
    </row>
    <row r="44" ht="82.8" spans="1:8">
      <c r="A44" s="80">
        <v>2</v>
      </c>
      <c r="B44" s="16" t="s">
        <v>285</v>
      </c>
      <c r="C44" s="84" t="s">
        <v>305</v>
      </c>
      <c r="D44" s="16" t="s">
        <v>282</v>
      </c>
      <c r="E44" s="82">
        <v>138.74</v>
      </c>
      <c r="F44" s="16">
        <v>4</v>
      </c>
      <c r="G44" s="83">
        <f t="shared" ref="G44:G58" si="6">TRUNC(F44*E44,2)</f>
        <v>554.96</v>
      </c>
      <c r="H44" s="83">
        <f t="shared" ref="H44:H58" si="7">TRUNC(G44/12,2)</f>
        <v>46.24</v>
      </c>
    </row>
    <row r="45" ht="57.6" spans="1:8">
      <c r="A45" s="80">
        <v>3</v>
      </c>
      <c r="B45" s="16" t="s">
        <v>285</v>
      </c>
      <c r="C45" s="86" t="s">
        <v>287</v>
      </c>
      <c r="D45" s="16" t="s">
        <v>282</v>
      </c>
      <c r="E45" s="82">
        <v>24.99</v>
      </c>
      <c r="F45" s="16">
        <v>4</v>
      </c>
      <c r="G45" s="83">
        <f t="shared" si="6"/>
        <v>99.96</v>
      </c>
      <c r="H45" s="83">
        <f t="shared" si="7"/>
        <v>8.33</v>
      </c>
    </row>
    <row r="46" ht="41.4" spans="1:8">
      <c r="A46" s="80">
        <v>4</v>
      </c>
      <c r="B46" s="85" t="s">
        <v>306</v>
      </c>
      <c r="C46" s="84" t="s">
        <v>307</v>
      </c>
      <c r="D46" s="16" t="s">
        <v>282</v>
      </c>
      <c r="E46" s="82">
        <v>11.23</v>
      </c>
      <c r="F46" s="16">
        <v>2</v>
      </c>
      <c r="G46" s="83">
        <f t="shared" si="6"/>
        <v>22.46</v>
      </c>
      <c r="H46" s="83">
        <f t="shared" si="7"/>
        <v>1.87</v>
      </c>
    </row>
    <row r="47" ht="82.8" spans="1:8">
      <c r="A47" s="80">
        <v>5</v>
      </c>
      <c r="B47" s="85" t="s">
        <v>300</v>
      </c>
      <c r="C47" s="84" t="s">
        <v>301</v>
      </c>
      <c r="D47" s="16" t="s">
        <v>290</v>
      </c>
      <c r="E47" s="82">
        <v>23.36</v>
      </c>
      <c r="F47" s="16">
        <v>2</v>
      </c>
      <c r="G47" s="83">
        <f t="shared" si="6"/>
        <v>46.72</v>
      </c>
      <c r="H47" s="83">
        <f t="shared" si="7"/>
        <v>3.89</v>
      </c>
    </row>
    <row r="48" ht="96.6" spans="1:8">
      <c r="A48" s="80">
        <v>6</v>
      </c>
      <c r="B48" s="16" t="s">
        <v>288</v>
      </c>
      <c r="C48" s="84" t="s">
        <v>308</v>
      </c>
      <c r="D48" s="16" t="s">
        <v>290</v>
      </c>
      <c r="E48" s="82">
        <v>89.5</v>
      </c>
      <c r="F48" s="16">
        <v>2</v>
      </c>
      <c r="G48" s="83">
        <f t="shared" si="6"/>
        <v>179</v>
      </c>
      <c r="H48" s="83">
        <f t="shared" si="7"/>
        <v>14.91</v>
      </c>
    </row>
    <row r="49" ht="41.4" spans="1:8">
      <c r="A49" s="80">
        <v>7</v>
      </c>
      <c r="B49" s="16" t="s">
        <v>291</v>
      </c>
      <c r="C49" s="84" t="s">
        <v>292</v>
      </c>
      <c r="D49" s="16" t="s">
        <v>290</v>
      </c>
      <c r="E49" s="82">
        <v>8.82</v>
      </c>
      <c r="F49" s="16">
        <v>4</v>
      </c>
      <c r="G49" s="83">
        <f t="shared" si="6"/>
        <v>35.28</v>
      </c>
      <c r="H49" s="83">
        <f t="shared" si="7"/>
        <v>2.94</v>
      </c>
    </row>
    <row r="50" ht="41.4" spans="1:8">
      <c r="A50" s="80">
        <v>8</v>
      </c>
      <c r="B50" s="16" t="s">
        <v>293</v>
      </c>
      <c r="C50" s="84" t="s">
        <v>294</v>
      </c>
      <c r="D50" s="16" t="s">
        <v>282</v>
      </c>
      <c r="E50" s="82">
        <v>5.8</v>
      </c>
      <c r="F50" s="16">
        <v>1</v>
      </c>
      <c r="G50" s="83">
        <f t="shared" si="6"/>
        <v>5.8</v>
      </c>
      <c r="H50" s="83">
        <f t="shared" si="7"/>
        <v>0.48</v>
      </c>
    </row>
    <row r="51" ht="124.2" spans="1:8">
      <c r="A51" s="80">
        <v>9</v>
      </c>
      <c r="B51" s="16" t="s">
        <v>309</v>
      </c>
      <c r="C51" s="84" t="s">
        <v>310</v>
      </c>
      <c r="D51" s="16" t="s">
        <v>282</v>
      </c>
      <c r="E51" s="82">
        <v>16.2</v>
      </c>
      <c r="F51" s="16">
        <v>1</v>
      </c>
      <c r="G51" s="83">
        <f t="shared" si="6"/>
        <v>16.2</v>
      </c>
      <c r="H51" s="83">
        <f t="shared" si="7"/>
        <v>1.35</v>
      </c>
    </row>
    <row r="52" ht="55.2" spans="1:8">
      <c r="A52" s="80">
        <v>10</v>
      </c>
      <c r="B52" s="16" t="s">
        <v>311</v>
      </c>
      <c r="C52" s="84" t="s">
        <v>312</v>
      </c>
      <c r="D52" s="16" t="s">
        <v>313</v>
      </c>
      <c r="E52" s="82">
        <v>222.4</v>
      </c>
      <c r="F52" s="16">
        <v>1</v>
      </c>
      <c r="G52" s="83">
        <f t="shared" si="6"/>
        <v>222.4</v>
      </c>
      <c r="H52" s="83">
        <f t="shared" si="7"/>
        <v>18.53</v>
      </c>
    </row>
    <row r="53" ht="41.4" spans="1:8">
      <c r="A53" s="80">
        <v>11</v>
      </c>
      <c r="B53" s="16" t="s">
        <v>314</v>
      </c>
      <c r="C53" s="84" t="s">
        <v>315</v>
      </c>
      <c r="D53" s="16" t="s">
        <v>290</v>
      </c>
      <c r="E53" s="82">
        <v>497.03</v>
      </c>
      <c r="F53" s="16">
        <v>1</v>
      </c>
      <c r="G53" s="83">
        <f t="shared" si="6"/>
        <v>497.03</v>
      </c>
      <c r="H53" s="83">
        <f t="shared" si="7"/>
        <v>41.41</v>
      </c>
    </row>
    <row r="54" ht="55.2" spans="1:8">
      <c r="A54" s="80">
        <v>12</v>
      </c>
      <c r="B54" s="16" t="s">
        <v>314</v>
      </c>
      <c r="C54" s="84" t="s">
        <v>316</v>
      </c>
      <c r="D54" s="16" t="s">
        <v>290</v>
      </c>
      <c r="E54" s="82">
        <v>3.8</v>
      </c>
      <c r="F54" s="16">
        <v>6</v>
      </c>
      <c r="G54" s="83">
        <f t="shared" si="6"/>
        <v>22.8</v>
      </c>
      <c r="H54" s="83">
        <f t="shared" si="7"/>
        <v>1.9</v>
      </c>
    </row>
    <row r="55" ht="69" spans="1:8">
      <c r="A55" s="80">
        <v>13</v>
      </c>
      <c r="B55" s="16" t="s">
        <v>317</v>
      </c>
      <c r="C55" s="84" t="s">
        <v>318</v>
      </c>
      <c r="D55" s="16" t="s">
        <v>282</v>
      </c>
      <c r="E55" s="82">
        <v>7</v>
      </c>
      <c r="F55" s="16">
        <v>2</v>
      </c>
      <c r="G55" s="83">
        <f t="shared" si="6"/>
        <v>14</v>
      </c>
      <c r="H55" s="83">
        <f t="shared" si="7"/>
        <v>1.16</v>
      </c>
    </row>
    <row r="56" ht="41.4" spans="1:8">
      <c r="A56" s="80">
        <v>14</v>
      </c>
      <c r="B56" s="16" t="s">
        <v>319</v>
      </c>
      <c r="C56" s="84" t="s">
        <v>320</v>
      </c>
      <c r="D56" s="16" t="s">
        <v>282</v>
      </c>
      <c r="E56" s="82">
        <v>1.57</v>
      </c>
      <c r="F56" s="16">
        <v>4</v>
      </c>
      <c r="G56" s="83">
        <f t="shared" si="6"/>
        <v>6.28</v>
      </c>
      <c r="H56" s="83">
        <f t="shared" si="7"/>
        <v>0.52</v>
      </c>
    </row>
    <row r="57" ht="28.8" spans="1:8">
      <c r="A57" s="80">
        <v>15</v>
      </c>
      <c r="B57" s="16" t="s">
        <v>321</v>
      </c>
      <c r="C57" s="84" t="s">
        <v>322</v>
      </c>
      <c r="D57" s="16" t="s">
        <v>282</v>
      </c>
      <c r="E57" s="82">
        <v>28</v>
      </c>
      <c r="F57" s="16">
        <v>4</v>
      </c>
      <c r="G57" s="83">
        <f t="shared" si="6"/>
        <v>112</v>
      </c>
      <c r="H57" s="83">
        <f t="shared" si="7"/>
        <v>9.33</v>
      </c>
    </row>
    <row r="58" ht="96.6" spans="1:8">
      <c r="A58" s="80">
        <v>16</v>
      </c>
      <c r="B58" s="16" t="s">
        <v>323</v>
      </c>
      <c r="C58" s="84" t="s">
        <v>324</v>
      </c>
      <c r="D58" s="16" t="s">
        <v>282</v>
      </c>
      <c r="E58" s="82">
        <v>3.55</v>
      </c>
      <c r="F58" s="16">
        <v>12</v>
      </c>
      <c r="G58" s="83">
        <f t="shared" si="6"/>
        <v>42.6</v>
      </c>
      <c r="H58" s="83">
        <f t="shared" si="7"/>
        <v>3.55</v>
      </c>
    </row>
    <row r="59" spans="1:8">
      <c r="A59" s="18" t="s">
        <v>204</v>
      </c>
      <c r="B59" s="18"/>
      <c r="C59" s="18"/>
      <c r="D59" s="18"/>
      <c r="E59" s="18"/>
      <c r="F59" s="18"/>
      <c r="G59" s="19">
        <f>TRUNC(SUM(H43:H58),2)</f>
        <v>200.28</v>
      </c>
      <c r="H59" s="19"/>
    </row>
    <row r="61" spans="1:8">
      <c r="A61" s="87"/>
      <c r="B61" s="88"/>
      <c r="C61" s="87"/>
      <c r="D61" s="89"/>
      <c r="E61" s="87"/>
      <c r="F61" s="87"/>
      <c r="G61" s="87"/>
      <c r="H61" s="87"/>
    </row>
    <row r="62" spans="1:8">
      <c r="A62" s="87"/>
      <c r="B62" s="88"/>
      <c r="C62" s="87"/>
      <c r="D62" s="89"/>
      <c r="E62" s="87"/>
      <c r="F62" s="87"/>
      <c r="G62" s="87"/>
      <c r="H62" s="87"/>
    </row>
    <row r="63" spans="1:8">
      <c r="A63" s="87"/>
      <c r="B63" s="88"/>
      <c r="C63" s="87"/>
      <c r="D63" s="89"/>
      <c r="E63" s="87"/>
      <c r="F63" s="87"/>
      <c r="G63" s="87"/>
      <c r="H63" s="87"/>
    </row>
    <row r="64" spans="1:8">
      <c r="A64" s="87"/>
      <c r="B64" s="88"/>
      <c r="C64" s="87"/>
      <c r="D64" s="89"/>
      <c r="E64" s="87"/>
      <c r="F64" s="87"/>
      <c r="G64" s="87"/>
      <c r="H64" s="87"/>
    </row>
    <row r="65" spans="1:8">
      <c r="A65" s="87"/>
      <c r="B65" s="88"/>
      <c r="C65" s="87"/>
      <c r="D65" s="89"/>
      <c r="E65" s="87"/>
      <c r="F65" s="87"/>
      <c r="G65" s="87"/>
      <c r="H65" s="87"/>
    </row>
    <row r="66" spans="1:8">
      <c r="A66" s="87"/>
      <c r="B66" s="88"/>
      <c r="C66" s="87"/>
      <c r="D66" s="89"/>
      <c r="E66" s="87"/>
      <c r="F66" s="87"/>
      <c r="G66" s="87"/>
      <c r="H66" s="87"/>
    </row>
    <row r="67" spans="1:8">
      <c r="A67" s="87"/>
      <c r="B67" s="88"/>
      <c r="C67" s="87"/>
      <c r="D67" s="89"/>
      <c r="E67" s="87"/>
      <c r="F67" s="87"/>
      <c r="G67" s="87"/>
      <c r="H67" s="87"/>
    </row>
    <row r="68" spans="1:8">
      <c r="A68" s="87"/>
      <c r="B68" s="88"/>
      <c r="C68" s="87"/>
      <c r="D68" s="89"/>
      <c r="E68" s="87"/>
      <c r="F68" s="87"/>
      <c r="G68" s="87"/>
      <c r="H68" s="87"/>
    </row>
    <row r="69" spans="1:8">
      <c r="A69" s="87"/>
      <c r="B69" s="88"/>
      <c r="C69" s="87"/>
      <c r="D69" s="89"/>
      <c r="E69" s="87"/>
      <c r="F69" s="87"/>
      <c r="G69" s="87"/>
      <c r="H69" s="87"/>
    </row>
    <row r="70" spans="1:8">
      <c r="A70" s="87"/>
      <c r="B70" s="88"/>
      <c r="C70" s="87"/>
      <c r="D70" s="89"/>
      <c r="E70" s="87"/>
      <c r="F70" s="87"/>
      <c r="G70" s="87"/>
      <c r="H70" s="87"/>
    </row>
  </sheetData>
  <mergeCells count="16">
    <mergeCell ref="A1:H1"/>
    <mergeCell ref="A2:H2"/>
    <mergeCell ref="A11:F11"/>
    <mergeCell ref="G11:H11"/>
    <mergeCell ref="A14:H14"/>
    <mergeCell ref="A15:H15"/>
    <mergeCell ref="A24:F24"/>
    <mergeCell ref="G24:H24"/>
    <mergeCell ref="A27:H27"/>
    <mergeCell ref="A28:H28"/>
    <mergeCell ref="A37:F37"/>
    <mergeCell ref="G37:H37"/>
    <mergeCell ref="A40:H40"/>
    <mergeCell ref="A41:H41"/>
    <mergeCell ref="A59:F59"/>
    <mergeCell ref="G59:H59"/>
  </mergeCells>
  <pageMargins left="0.75" right="0.75" top="1" bottom="1" header="0.5" footer="0.5"/>
  <pageSetup paperSize="9" orientation="portrait"/>
  <headerFooter/>
  <tableParts count="3">
    <tablePart r:id="rId1"/>
    <tablePart r:id="rId2"/>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7"/>
  <sheetViews>
    <sheetView topLeftCell="A66" workbookViewId="0">
      <selection activeCell="H115" sqref="H115"/>
    </sheetView>
  </sheetViews>
  <sheetFormatPr defaultColWidth="8.88888888888889" defaultRowHeight="14.4" outlineLevelCol="6"/>
  <cols>
    <col min="2" max="2" width="42.3333333333333" customWidth="1"/>
    <col min="3" max="3" width="19.7777777777778" customWidth="1"/>
    <col min="4" max="4" width="17.5555555555556" customWidth="1"/>
    <col min="5" max="5" width="15.3333333333333" customWidth="1"/>
    <col min="6" max="6" width="17.8888888888889" customWidth="1"/>
    <col min="7" max="7" width="12.5555555555556" customWidth="1"/>
  </cols>
  <sheetData>
    <row r="1" spans="1:6">
      <c r="A1" s="22" t="s">
        <v>325</v>
      </c>
      <c r="B1" s="22"/>
      <c r="C1" s="22"/>
      <c r="D1" s="22"/>
      <c r="E1" s="22"/>
      <c r="F1" s="22"/>
    </row>
    <row r="2" ht="27.6" spans="1:6">
      <c r="A2" s="23" t="s">
        <v>272</v>
      </c>
      <c r="B2" s="23" t="s">
        <v>274</v>
      </c>
      <c r="C2" s="23" t="s">
        <v>275</v>
      </c>
      <c r="D2" s="24" t="s">
        <v>326</v>
      </c>
      <c r="E2" s="23" t="s">
        <v>251</v>
      </c>
      <c r="F2" s="23" t="s">
        <v>327</v>
      </c>
    </row>
    <row r="3" spans="1:6">
      <c r="A3" s="25">
        <v>1</v>
      </c>
      <c r="B3" s="26" t="s">
        <v>328</v>
      </c>
      <c r="C3" s="25" t="s">
        <v>329</v>
      </c>
      <c r="D3" s="27">
        <v>4</v>
      </c>
      <c r="E3" s="28">
        <v>28.4</v>
      </c>
      <c r="F3" s="29">
        <f t="shared" ref="F3:F66" si="0">TRUNC(E3*D3,2)</f>
        <v>113.6</v>
      </c>
    </row>
    <row r="4" spans="1:6">
      <c r="A4" s="25">
        <v>2</v>
      </c>
      <c r="B4" s="26" t="s">
        <v>330</v>
      </c>
      <c r="C4" s="25" t="s">
        <v>329</v>
      </c>
      <c r="D4" s="27">
        <v>4</v>
      </c>
      <c r="E4" s="28">
        <v>51.65</v>
      </c>
      <c r="F4" s="29">
        <f t="shared" si="0"/>
        <v>206.6</v>
      </c>
    </row>
    <row r="5" spans="1:6">
      <c r="A5" s="25">
        <v>3</v>
      </c>
      <c r="B5" s="26" t="s">
        <v>331</v>
      </c>
      <c r="C5" s="25" t="s">
        <v>329</v>
      </c>
      <c r="D5" s="27">
        <v>4</v>
      </c>
      <c r="E5" s="28">
        <v>35.19</v>
      </c>
      <c r="F5" s="29">
        <f t="shared" si="0"/>
        <v>140.76</v>
      </c>
    </row>
    <row r="6" spans="1:6">
      <c r="A6" s="25">
        <v>4</v>
      </c>
      <c r="B6" s="26" t="s">
        <v>332</v>
      </c>
      <c r="C6" s="25" t="s">
        <v>329</v>
      </c>
      <c r="D6" s="27">
        <v>4</v>
      </c>
      <c r="E6" s="28">
        <v>60.75</v>
      </c>
      <c r="F6" s="29">
        <f t="shared" si="0"/>
        <v>243</v>
      </c>
    </row>
    <row r="7" spans="1:6">
      <c r="A7" s="25">
        <v>5</v>
      </c>
      <c r="B7" s="26" t="s">
        <v>333</v>
      </c>
      <c r="C7" s="25" t="s">
        <v>329</v>
      </c>
      <c r="D7" s="27">
        <v>2</v>
      </c>
      <c r="E7" s="28">
        <v>14</v>
      </c>
      <c r="F7" s="29">
        <f t="shared" si="0"/>
        <v>28</v>
      </c>
    </row>
    <row r="8" spans="1:6">
      <c r="A8" s="25">
        <v>6</v>
      </c>
      <c r="B8" s="26" t="s">
        <v>334</v>
      </c>
      <c r="C8" s="25" t="s">
        <v>329</v>
      </c>
      <c r="D8" s="27">
        <v>2</v>
      </c>
      <c r="E8" s="28">
        <v>11.38</v>
      </c>
      <c r="F8" s="29">
        <f t="shared" si="0"/>
        <v>22.76</v>
      </c>
    </row>
    <row r="9" spans="1:6">
      <c r="A9" s="25">
        <v>7</v>
      </c>
      <c r="B9" s="26" t="s">
        <v>335</v>
      </c>
      <c r="C9" s="25" t="s">
        <v>329</v>
      </c>
      <c r="D9" s="27">
        <v>2</v>
      </c>
      <c r="E9" s="28">
        <v>12.87</v>
      </c>
      <c r="F9" s="29">
        <f t="shared" si="0"/>
        <v>25.74</v>
      </c>
    </row>
    <row r="10" spans="1:6">
      <c r="A10" s="25">
        <v>8</v>
      </c>
      <c r="B10" s="26" t="s">
        <v>336</v>
      </c>
      <c r="C10" s="25" t="s">
        <v>329</v>
      </c>
      <c r="D10" s="27">
        <v>2</v>
      </c>
      <c r="E10" s="28">
        <v>27.23</v>
      </c>
      <c r="F10" s="29">
        <f t="shared" si="0"/>
        <v>54.46</v>
      </c>
    </row>
    <row r="11" spans="1:6">
      <c r="A11" s="25">
        <v>9</v>
      </c>
      <c r="B11" s="26" t="s">
        <v>337</v>
      </c>
      <c r="C11" s="25" t="s">
        <v>329</v>
      </c>
      <c r="D11" s="27">
        <v>2</v>
      </c>
      <c r="E11" s="28">
        <v>9.61</v>
      </c>
      <c r="F11" s="29">
        <f t="shared" si="0"/>
        <v>19.22</v>
      </c>
    </row>
    <row r="12" spans="1:6">
      <c r="A12" s="25">
        <v>10</v>
      </c>
      <c r="B12" s="26" t="s">
        <v>338</v>
      </c>
      <c r="C12" s="25" t="s">
        <v>329</v>
      </c>
      <c r="D12" s="27">
        <v>5</v>
      </c>
      <c r="E12" s="28">
        <v>9.71</v>
      </c>
      <c r="F12" s="29">
        <f t="shared" si="0"/>
        <v>48.55</v>
      </c>
    </row>
    <row r="13" spans="1:6">
      <c r="A13" s="25">
        <v>11</v>
      </c>
      <c r="B13" s="26" t="s">
        <v>339</v>
      </c>
      <c r="C13" s="25" t="s">
        <v>329</v>
      </c>
      <c r="D13" s="27">
        <v>2</v>
      </c>
      <c r="E13" s="28">
        <v>35.31</v>
      </c>
      <c r="F13" s="29">
        <f t="shared" si="0"/>
        <v>70.62</v>
      </c>
    </row>
    <row r="14" spans="1:6">
      <c r="A14" s="25">
        <v>12</v>
      </c>
      <c r="B14" s="26" t="s">
        <v>340</v>
      </c>
      <c r="C14" s="25" t="s">
        <v>329</v>
      </c>
      <c r="D14" s="27">
        <v>1</v>
      </c>
      <c r="E14" s="28">
        <v>13</v>
      </c>
      <c r="F14" s="29">
        <f t="shared" si="0"/>
        <v>13</v>
      </c>
    </row>
    <row r="15" spans="1:6">
      <c r="A15" s="25">
        <v>13</v>
      </c>
      <c r="B15" s="26" t="s">
        <v>341</v>
      </c>
      <c r="C15" s="25" t="s">
        <v>329</v>
      </c>
      <c r="D15" s="27">
        <v>1</v>
      </c>
      <c r="E15" s="28">
        <v>98</v>
      </c>
      <c r="F15" s="29">
        <f t="shared" si="0"/>
        <v>98</v>
      </c>
    </row>
    <row r="16" spans="1:6">
      <c r="A16" s="25">
        <v>14</v>
      </c>
      <c r="B16" s="26" t="s">
        <v>342</v>
      </c>
      <c r="C16" s="25" t="s">
        <v>329</v>
      </c>
      <c r="D16" s="27">
        <v>1</v>
      </c>
      <c r="E16" s="28">
        <v>150</v>
      </c>
      <c r="F16" s="29">
        <f t="shared" si="0"/>
        <v>150</v>
      </c>
    </row>
    <row r="17" spans="1:6">
      <c r="A17" s="25">
        <v>15</v>
      </c>
      <c r="B17" s="26" t="s">
        <v>343</v>
      </c>
      <c r="C17" s="25" t="s">
        <v>329</v>
      </c>
      <c r="D17" s="27">
        <v>1</v>
      </c>
      <c r="E17" s="28">
        <v>39.83</v>
      </c>
      <c r="F17" s="29">
        <f t="shared" si="0"/>
        <v>39.83</v>
      </c>
    </row>
    <row r="18" spans="1:6">
      <c r="A18" s="25">
        <v>16</v>
      </c>
      <c r="B18" s="26" t="s">
        <v>344</v>
      </c>
      <c r="C18" s="25" t="s">
        <v>329</v>
      </c>
      <c r="D18" s="27">
        <v>10</v>
      </c>
      <c r="E18" s="28">
        <v>92.6</v>
      </c>
      <c r="F18" s="29">
        <f t="shared" si="0"/>
        <v>926</v>
      </c>
    </row>
    <row r="19" spans="1:6">
      <c r="A19" s="25">
        <v>17</v>
      </c>
      <c r="B19" s="26" t="s">
        <v>345</v>
      </c>
      <c r="C19" s="25" t="s">
        <v>329</v>
      </c>
      <c r="D19" s="27">
        <v>20</v>
      </c>
      <c r="E19" s="28">
        <v>5.7</v>
      </c>
      <c r="F19" s="29">
        <f t="shared" si="0"/>
        <v>114</v>
      </c>
    </row>
    <row r="20" spans="1:6">
      <c r="A20" s="25">
        <v>18</v>
      </c>
      <c r="B20" s="26" t="s">
        <v>346</v>
      </c>
      <c r="C20" s="25" t="s">
        <v>329</v>
      </c>
      <c r="D20" s="27"/>
      <c r="E20" s="28">
        <v>18.02</v>
      </c>
      <c r="F20" s="29">
        <f t="shared" si="0"/>
        <v>0</v>
      </c>
    </row>
    <row r="21" spans="1:6">
      <c r="A21" s="25">
        <v>19</v>
      </c>
      <c r="B21" s="26" t="s">
        <v>347</v>
      </c>
      <c r="C21" s="25" t="s">
        <v>329</v>
      </c>
      <c r="D21" s="27"/>
      <c r="E21" s="28">
        <v>41.23</v>
      </c>
      <c r="F21" s="29">
        <f t="shared" si="0"/>
        <v>0</v>
      </c>
    </row>
    <row r="22" spans="1:6">
      <c r="A22" s="25">
        <v>20</v>
      </c>
      <c r="B22" s="26" t="s">
        <v>348</v>
      </c>
      <c r="C22" s="25" t="s">
        <v>329</v>
      </c>
      <c r="D22" s="27"/>
      <c r="E22" s="28">
        <v>51.93</v>
      </c>
      <c r="F22" s="29">
        <f t="shared" si="0"/>
        <v>0</v>
      </c>
    </row>
    <row r="23" spans="1:6">
      <c r="A23" s="25">
        <v>21</v>
      </c>
      <c r="B23" s="26" t="s">
        <v>349</v>
      </c>
      <c r="C23" s="25" t="s">
        <v>329</v>
      </c>
      <c r="D23" s="27"/>
      <c r="E23" s="28">
        <v>34.25</v>
      </c>
      <c r="F23" s="29">
        <f t="shared" si="0"/>
        <v>0</v>
      </c>
    </row>
    <row r="24" spans="1:6">
      <c r="A24" s="25">
        <v>22</v>
      </c>
      <c r="B24" s="26" t="s">
        <v>350</v>
      </c>
      <c r="C24" s="25" t="s">
        <v>329</v>
      </c>
      <c r="D24" s="27"/>
      <c r="E24" s="28">
        <v>19.19</v>
      </c>
      <c r="F24" s="29">
        <f t="shared" si="0"/>
        <v>0</v>
      </c>
    </row>
    <row r="25" spans="1:6">
      <c r="A25" s="25">
        <v>23</v>
      </c>
      <c r="B25" s="26" t="s">
        <v>351</v>
      </c>
      <c r="C25" s="25" t="s">
        <v>329</v>
      </c>
      <c r="D25" s="27"/>
      <c r="E25" s="28">
        <v>27.99</v>
      </c>
      <c r="F25" s="29">
        <f t="shared" si="0"/>
        <v>0</v>
      </c>
    </row>
    <row r="26" spans="1:6">
      <c r="A26" s="25">
        <v>24</v>
      </c>
      <c r="B26" s="26" t="s">
        <v>352</v>
      </c>
      <c r="C26" s="25" t="s">
        <v>329</v>
      </c>
      <c r="D26" s="27"/>
      <c r="E26" s="28">
        <v>10.28</v>
      </c>
      <c r="F26" s="29">
        <f t="shared" si="0"/>
        <v>0</v>
      </c>
    </row>
    <row r="27" spans="1:6">
      <c r="A27" s="25">
        <v>25</v>
      </c>
      <c r="B27" s="26" t="s">
        <v>353</v>
      </c>
      <c r="C27" s="25" t="s">
        <v>329</v>
      </c>
      <c r="D27" s="27"/>
      <c r="E27" s="28">
        <v>14.3</v>
      </c>
      <c r="F27" s="29">
        <f t="shared" si="0"/>
        <v>0</v>
      </c>
    </row>
    <row r="28" spans="1:6">
      <c r="A28" s="25">
        <v>26</v>
      </c>
      <c r="B28" s="26" t="s">
        <v>354</v>
      </c>
      <c r="C28" s="25" t="s">
        <v>329</v>
      </c>
      <c r="D28" s="27"/>
      <c r="E28" s="28">
        <v>58.65</v>
      </c>
      <c r="F28" s="29">
        <f t="shared" si="0"/>
        <v>0</v>
      </c>
    </row>
    <row r="29" spans="1:6">
      <c r="A29" s="25">
        <v>27</v>
      </c>
      <c r="B29" s="26" t="s">
        <v>355</v>
      </c>
      <c r="C29" s="25" t="s">
        <v>329</v>
      </c>
      <c r="D29" s="27"/>
      <c r="E29" s="28">
        <v>31.28</v>
      </c>
      <c r="F29" s="29">
        <f t="shared" si="0"/>
        <v>0</v>
      </c>
    </row>
    <row r="30" spans="1:6">
      <c r="A30" s="25">
        <v>28</v>
      </c>
      <c r="B30" s="26" t="s">
        <v>356</v>
      </c>
      <c r="C30" s="25" t="s">
        <v>329</v>
      </c>
      <c r="D30" s="27"/>
      <c r="E30" s="28">
        <v>24</v>
      </c>
      <c r="F30" s="29">
        <f t="shared" si="0"/>
        <v>0</v>
      </c>
    </row>
    <row r="31" spans="1:6">
      <c r="A31" s="25">
        <v>29</v>
      </c>
      <c r="B31" s="26" t="s">
        <v>357</v>
      </c>
      <c r="C31" s="25" t="s">
        <v>329</v>
      </c>
      <c r="D31" s="27"/>
      <c r="E31" s="28">
        <v>52.19</v>
      </c>
      <c r="F31" s="29">
        <f t="shared" si="0"/>
        <v>0</v>
      </c>
    </row>
    <row r="32" spans="1:6">
      <c r="A32" s="25">
        <v>30</v>
      </c>
      <c r="B32" s="26" t="s">
        <v>358</v>
      </c>
      <c r="C32" s="25" t="s">
        <v>329</v>
      </c>
      <c r="D32" s="27"/>
      <c r="E32" s="28">
        <v>33.39</v>
      </c>
      <c r="F32" s="29">
        <f t="shared" si="0"/>
        <v>0</v>
      </c>
    </row>
    <row r="33" spans="1:6">
      <c r="A33" s="25">
        <v>31</v>
      </c>
      <c r="B33" s="26" t="s">
        <v>359</v>
      </c>
      <c r="C33" s="25" t="s">
        <v>329</v>
      </c>
      <c r="D33" s="27"/>
      <c r="E33" s="28">
        <v>53.87</v>
      </c>
      <c r="F33" s="29">
        <f t="shared" si="0"/>
        <v>0</v>
      </c>
    </row>
    <row r="34" spans="1:6">
      <c r="A34" s="25">
        <v>32</v>
      </c>
      <c r="B34" s="26" t="s">
        <v>360</v>
      </c>
      <c r="C34" s="25" t="s">
        <v>329</v>
      </c>
      <c r="D34" s="27"/>
      <c r="E34" s="28">
        <v>22.58</v>
      </c>
      <c r="F34" s="29">
        <f t="shared" si="0"/>
        <v>0</v>
      </c>
    </row>
    <row r="35" spans="1:6">
      <c r="A35" s="25">
        <v>33</v>
      </c>
      <c r="B35" s="26" t="s">
        <v>361</v>
      </c>
      <c r="C35" s="25" t="s">
        <v>329</v>
      </c>
      <c r="D35" s="27"/>
      <c r="E35" s="28">
        <v>17.56</v>
      </c>
      <c r="F35" s="29">
        <f t="shared" si="0"/>
        <v>0</v>
      </c>
    </row>
    <row r="36" spans="1:6">
      <c r="A36" s="25">
        <v>34</v>
      </c>
      <c r="B36" s="26" t="s">
        <v>362</v>
      </c>
      <c r="C36" s="25" t="s">
        <v>329</v>
      </c>
      <c r="D36" s="27"/>
      <c r="E36" s="28">
        <v>40</v>
      </c>
      <c r="F36" s="29">
        <f t="shared" si="0"/>
        <v>0</v>
      </c>
    </row>
    <row r="37" spans="1:6">
      <c r="A37" s="25">
        <v>35</v>
      </c>
      <c r="B37" s="26" t="s">
        <v>363</v>
      </c>
      <c r="C37" s="25" t="s">
        <v>329</v>
      </c>
      <c r="D37" s="27"/>
      <c r="E37" s="28">
        <v>25.55</v>
      </c>
      <c r="F37" s="29">
        <f t="shared" si="0"/>
        <v>0</v>
      </c>
    </row>
    <row r="38" spans="1:6">
      <c r="A38" s="25">
        <v>36</v>
      </c>
      <c r="B38" s="26" t="s">
        <v>364</v>
      </c>
      <c r="C38" s="25" t="s">
        <v>329</v>
      </c>
      <c r="D38" s="27"/>
      <c r="E38" s="28">
        <v>39.34</v>
      </c>
      <c r="F38" s="29">
        <f t="shared" si="0"/>
        <v>0</v>
      </c>
    </row>
    <row r="39" spans="1:6">
      <c r="A39" s="25">
        <v>37</v>
      </c>
      <c r="B39" s="26" t="s">
        <v>365</v>
      </c>
      <c r="C39" s="25" t="s">
        <v>329</v>
      </c>
      <c r="D39" s="27"/>
      <c r="E39" s="28">
        <v>13.75</v>
      </c>
      <c r="F39" s="29">
        <f t="shared" si="0"/>
        <v>0</v>
      </c>
    </row>
    <row r="40" spans="1:6">
      <c r="A40" s="25">
        <v>38</v>
      </c>
      <c r="B40" s="26" t="s">
        <v>366</v>
      </c>
      <c r="C40" s="25" t="s">
        <v>329</v>
      </c>
      <c r="D40" s="27"/>
      <c r="E40" s="28">
        <v>20.17</v>
      </c>
      <c r="F40" s="29">
        <f t="shared" si="0"/>
        <v>0</v>
      </c>
    </row>
    <row r="41" spans="1:6">
      <c r="A41" s="25">
        <v>39</v>
      </c>
      <c r="B41" s="26" t="s">
        <v>367</v>
      </c>
      <c r="C41" s="25" t="s">
        <v>329</v>
      </c>
      <c r="D41" s="27"/>
      <c r="E41" s="28">
        <v>30.26</v>
      </c>
      <c r="F41" s="29">
        <f t="shared" si="0"/>
        <v>0</v>
      </c>
    </row>
    <row r="42" spans="1:6">
      <c r="A42" s="25">
        <v>40</v>
      </c>
      <c r="B42" s="26" t="s">
        <v>368</v>
      </c>
      <c r="C42" s="25" t="s">
        <v>329</v>
      </c>
      <c r="D42" s="27"/>
      <c r="E42" s="28">
        <v>21.32</v>
      </c>
      <c r="F42" s="29">
        <f t="shared" si="0"/>
        <v>0</v>
      </c>
    </row>
    <row r="43" spans="1:6">
      <c r="A43" s="25">
        <v>41</v>
      </c>
      <c r="B43" s="26" t="s">
        <v>369</v>
      </c>
      <c r="C43" s="25" t="s">
        <v>329</v>
      </c>
      <c r="D43" s="27"/>
      <c r="E43" s="28">
        <v>9.31</v>
      </c>
      <c r="F43" s="29">
        <f t="shared" si="0"/>
        <v>0</v>
      </c>
    </row>
    <row r="44" spans="1:6">
      <c r="A44" s="25">
        <v>42</v>
      </c>
      <c r="B44" s="26" t="s">
        <v>370</v>
      </c>
      <c r="C44" s="25" t="s">
        <v>329</v>
      </c>
      <c r="D44" s="27"/>
      <c r="E44" s="28">
        <v>11.47</v>
      </c>
      <c r="F44" s="29">
        <f t="shared" si="0"/>
        <v>0</v>
      </c>
    </row>
    <row r="45" spans="1:6">
      <c r="A45" s="25">
        <v>43</v>
      </c>
      <c r="B45" s="26" t="s">
        <v>371</v>
      </c>
      <c r="C45" s="25" t="s">
        <v>329</v>
      </c>
      <c r="D45" s="27"/>
      <c r="E45" s="28">
        <v>9.12</v>
      </c>
      <c r="F45" s="29">
        <f t="shared" si="0"/>
        <v>0</v>
      </c>
    </row>
    <row r="46" spans="1:6">
      <c r="A46" s="25">
        <v>44</v>
      </c>
      <c r="B46" s="26" t="s">
        <v>372</v>
      </c>
      <c r="C46" s="25" t="s">
        <v>329</v>
      </c>
      <c r="D46" s="27"/>
      <c r="E46" s="28">
        <v>31.96</v>
      </c>
      <c r="F46" s="29">
        <f t="shared" si="0"/>
        <v>0</v>
      </c>
    </row>
    <row r="47" spans="1:6">
      <c r="A47" s="25">
        <v>45</v>
      </c>
      <c r="B47" s="26" t="s">
        <v>373</v>
      </c>
      <c r="C47" s="25" t="s">
        <v>329</v>
      </c>
      <c r="D47" s="27"/>
      <c r="E47" s="28">
        <v>17.48</v>
      </c>
      <c r="F47" s="29">
        <f t="shared" si="0"/>
        <v>0</v>
      </c>
    </row>
    <row r="48" spans="1:6">
      <c r="A48" s="25">
        <v>46</v>
      </c>
      <c r="B48" s="26" t="s">
        <v>374</v>
      </c>
      <c r="C48" s="25" t="s">
        <v>329</v>
      </c>
      <c r="D48" s="27"/>
      <c r="E48" s="28">
        <v>67.59</v>
      </c>
      <c r="F48" s="29">
        <f t="shared" si="0"/>
        <v>0</v>
      </c>
    </row>
    <row r="49" spans="1:6">
      <c r="A49" s="25">
        <v>47</v>
      </c>
      <c r="B49" s="26" t="s">
        <v>375</v>
      </c>
      <c r="C49" s="25" t="s">
        <v>329</v>
      </c>
      <c r="D49" s="27"/>
      <c r="E49" s="28">
        <v>36</v>
      </c>
      <c r="F49" s="29">
        <f t="shared" si="0"/>
        <v>0</v>
      </c>
    </row>
    <row r="50" spans="1:6">
      <c r="A50" s="25">
        <v>48</v>
      </c>
      <c r="B50" s="26" t="s">
        <v>376</v>
      </c>
      <c r="C50" s="25" t="s">
        <v>329</v>
      </c>
      <c r="D50" s="27"/>
      <c r="E50" s="28">
        <v>15.8</v>
      </c>
      <c r="F50" s="29">
        <f t="shared" si="0"/>
        <v>0</v>
      </c>
    </row>
    <row r="51" spans="1:6">
      <c r="A51" s="25">
        <v>49</v>
      </c>
      <c r="B51" s="26" t="s">
        <v>377</v>
      </c>
      <c r="C51" s="25" t="s">
        <v>329</v>
      </c>
      <c r="D51" s="27"/>
      <c r="E51" s="28">
        <v>6.3</v>
      </c>
      <c r="F51" s="29">
        <f t="shared" si="0"/>
        <v>0</v>
      </c>
    </row>
    <row r="52" spans="1:6">
      <c r="A52" s="25">
        <v>50</v>
      </c>
      <c r="B52" s="26" t="s">
        <v>378</v>
      </c>
      <c r="C52" s="25" t="s">
        <v>329</v>
      </c>
      <c r="D52" s="27"/>
      <c r="E52" s="28">
        <v>5.88</v>
      </c>
      <c r="F52" s="29">
        <f t="shared" si="0"/>
        <v>0</v>
      </c>
    </row>
    <row r="53" spans="1:6">
      <c r="A53" s="25">
        <v>51</v>
      </c>
      <c r="B53" s="26" t="s">
        <v>379</v>
      </c>
      <c r="C53" s="25" t="s">
        <v>329</v>
      </c>
      <c r="D53" s="27"/>
      <c r="E53" s="28">
        <v>5.63</v>
      </c>
      <c r="F53" s="29">
        <f t="shared" si="0"/>
        <v>0</v>
      </c>
    </row>
    <row r="54" spans="1:6">
      <c r="A54" s="25">
        <v>52</v>
      </c>
      <c r="B54" s="26" t="s">
        <v>380</v>
      </c>
      <c r="C54" s="25" t="s">
        <v>329</v>
      </c>
      <c r="D54" s="27"/>
      <c r="E54" s="28">
        <v>8</v>
      </c>
      <c r="F54" s="29">
        <f t="shared" si="0"/>
        <v>0</v>
      </c>
    </row>
    <row r="55" spans="1:6">
      <c r="A55" s="25">
        <v>53</v>
      </c>
      <c r="B55" s="26" t="s">
        <v>381</v>
      </c>
      <c r="C55" s="25" t="s">
        <v>329</v>
      </c>
      <c r="D55" s="27"/>
      <c r="E55" s="28">
        <v>27.67</v>
      </c>
      <c r="F55" s="29">
        <f t="shared" si="0"/>
        <v>0</v>
      </c>
    </row>
    <row r="56" spans="1:6">
      <c r="A56" s="25">
        <v>54</v>
      </c>
      <c r="B56" s="26" t="s">
        <v>382</v>
      </c>
      <c r="C56" s="25" t="s">
        <v>329</v>
      </c>
      <c r="D56" s="27"/>
      <c r="E56" s="28">
        <v>6.79</v>
      </c>
      <c r="F56" s="29">
        <f t="shared" si="0"/>
        <v>0</v>
      </c>
    </row>
    <row r="57" spans="1:6">
      <c r="A57" s="25">
        <v>55</v>
      </c>
      <c r="B57" s="26" t="s">
        <v>383</v>
      </c>
      <c r="C57" s="25" t="s">
        <v>329</v>
      </c>
      <c r="D57" s="27"/>
      <c r="E57" s="28">
        <v>5.9</v>
      </c>
      <c r="F57" s="29">
        <f t="shared" si="0"/>
        <v>0</v>
      </c>
    </row>
    <row r="58" spans="1:6">
      <c r="A58" s="25">
        <v>56</v>
      </c>
      <c r="B58" s="26" t="s">
        <v>384</v>
      </c>
      <c r="C58" s="25" t="s">
        <v>329</v>
      </c>
      <c r="D58" s="27"/>
      <c r="E58" s="28">
        <v>23.73</v>
      </c>
      <c r="F58" s="29">
        <f t="shared" si="0"/>
        <v>0</v>
      </c>
    </row>
    <row r="59" spans="1:6">
      <c r="A59" s="25">
        <v>57</v>
      </c>
      <c r="B59" s="26" t="s">
        <v>385</v>
      </c>
      <c r="C59" s="25" t="s">
        <v>329</v>
      </c>
      <c r="D59" s="27"/>
      <c r="E59" s="28">
        <v>9</v>
      </c>
      <c r="F59" s="29">
        <f t="shared" si="0"/>
        <v>0</v>
      </c>
    </row>
    <row r="60" spans="1:6">
      <c r="A60" s="25">
        <v>58</v>
      </c>
      <c r="B60" s="26" t="s">
        <v>386</v>
      </c>
      <c r="C60" s="25" t="s">
        <v>329</v>
      </c>
      <c r="D60" s="27"/>
      <c r="E60" s="28">
        <v>62.69</v>
      </c>
      <c r="F60" s="29">
        <f t="shared" si="0"/>
        <v>0</v>
      </c>
    </row>
    <row r="61" spans="1:6">
      <c r="A61" s="25">
        <v>59</v>
      </c>
      <c r="B61" s="26" t="s">
        <v>387</v>
      </c>
      <c r="C61" s="25" t="s">
        <v>329</v>
      </c>
      <c r="D61" s="27"/>
      <c r="E61" s="28">
        <v>36.68</v>
      </c>
      <c r="F61" s="29">
        <f t="shared" si="0"/>
        <v>0</v>
      </c>
    </row>
    <row r="62" spans="1:6">
      <c r="A62" s="25">
        <v>60</v>
      </c>
      <c r="B62" s="26" t="s">
        <v>388</v>
      </c>
      <c r="C62" s="25" t="s">
        <v>329</v>
      </c>
      <c r="D62" s="27"/>
      <c r="E62" s="28">
        <v>57.67</v>
      </c>
      <c r="F62" s="29">
        <f t="shared" si="0"/>
        <v>0</v>
      </c>
    </row>
    <row r="63" spans="1:6">
      <c r="A63" s="25">
        <v>61</v>
      </c>
      <c r="B63" s="26" t="s">
        <v>389</v>
      </c>
      <c r="C63" s="25" t="s">
        <v>329</v>
      </c>
      <c r="D63" s="27"/>
      <c r="E63" s="28">
        <v>53.87</v>
      </c>
      <c r="F63" s="29">
        <f t="shared" si="0"/>
        <v>0</v>
      </c>
    </row>
    <row r="64" spans="1:6">
      <c r="A64" s="25">
        <v>62</v>
      </c>
      <c r="B64" s="26" t="s">
        <v>390</v>
      </c>
      <c r="C64" s="25" t="s">
        <v>329</v>
      </c>
      <c r="D64" s="27"/>
      <c r="E64" s="28">
        <v>38.39</v>
      </c>
      <c r="F64" s="29">
        <f t="shared" si="0"/>
        <v>0</v>
      </c>
    </row>
    <row r="65" spans="1:6">
      <c r="A65" s="25">
        <v>63</v>
      </c>
      <c r="B65" s="26" t="s">
        <v>391</v>
      </c>
      <c r="C65" s="25" t="s">
        <v>329</v>
      </c>
      <c r="D65" s="27"/>
      <c r="E65" s="28">
        <v>33.34</v>
      </c>
      <c r="F65" s="29">
        <f t="shared" si="0"/>
        <v>0</v>
      </c>
    </row>
    <row r="66" spans="1:6">
      <c r="A66" s="25">
        <v>64</v>
      </c>
      <c r="B66" s="26" t="s">
        <v>392</v>
      </c>
      <c r="C66" s="25" t="s">
        <v>329</v>
      </c>
      <c r="D66" s="27"/>
      <c r="E66" s="28">
        <v>64.59</v>
      </c>
      <c r="F66" s="29">
        <f t="shared" si="0"/>
        <v>0</v>
      </c>
    </row>
    <row r="67" spans="1:6">
      <c r="A67" s="25">
        <v>65</v>
      </c>
      <c r="B67" s="26" t="s">
        <v>393</v>
      </c>
      <c r="C67" s="25" t="s">
        <v>329</v>
      </c>
      <c r="D67" s="27"/>
      <c r="E67" s="28">
        <v>39</v>
      </c>
      <c r="F67" s="29">
        <f t="shared" ref="F67:F82" si="1">TRUNC(E67*D67,2)</f>
        <v>0</v>
      </c>
    </row>
    <row r="68" spans="1:6">
      <c r="A68" s="25">
        <v>66</v>
      </c>
      <c r="B68" s="26" t="s">
        <v>394</v>
      </c>
      <c r="C68" s="25" t="s">
        <v>329</v>
      </c>
      <c r="D68" s="27"/>
      <c r="E68" s="28">
        <v>248.59</v>
      </c>
      <c r="F68" s="29">
        <f t="shared" si="1"/>
        <v>0</v>
      </c>
    </row>
    <row r="69" spans="1:6">
      <c r="A69" s="25">
        <v>67</v>
      </c>
      <c r="B69" s="26" t="s">
        <v>395</v>
      </c>
      <c r="C69" s="25" t="s">
        <v>329</v>
      </c>
      <c r="D69" s="27"/>
      <c r="E69" s="28">
        <v>19.52</v>
      </c>
      <c r="F69" s="29">
        <f t="shared" si="1"/>
        <v>0</v>
      </c>
    </row>
    <row r="70" spans="1:6">
      <c r="A70" s="25">
        <v>68</v>
      </c>
      <c r="B70" s="26" t="s">
        <v>396</v>
      </c>
      <c r="C70" s="25" t="s">
        <v>329</v>
      </c>
      <c r="D70" s="27"/>
      <c r="E70" s="28">
        <v>5.55</v>
      </c>
      <c r="F70" s="29">
        <f t="shared" si="1"/>
        <v>0</v>
      </c>
    </row>
    <row r="71" spans="1:6">
      <c r="A71" s="25">
        <v>69</v>
      </c>
      <c r="B71" s="26" t="s">
        <v>397</v>
      </c>
      <c r="C71" s="25" t="s">
        <v>329</v>
      </c>
      <c r="D71" s="27"/>
      <c r="E71" s="28">
        <v>7.93</v>
      </c>
      <c r="F71" s="29">
        <f t="shared" si="1"/>
        <v>0</v>
      </c>
    </row>
    <row r="72" spans="1:6">
      <c r="A72" s="25">
        <v>70</v>
      </c>
      <c r="B72" s="26" t="s">
        <v>398</v>
      </c>
      <c r="C72" s="25" t="s">
        <v>329</v>
      </c>
      <c r="D72" s="27"/>
      <c r="E72" s="28">
        <v>58.03</v>
      </c>
      <c r="F72" s="29">
        <f t="shared" si="1"/>
        <v>0</v>
      </c>
    </row>
    <row r="73" spans="1:6">
      <c r="A73" s="25">
        <v>71</v>
      </c>
      <c r="B73" s="26" t="s">
        <v>399</v>
      </c>
      <c r="C73" s="25" t="s">
        <v>329</v>
      </c>
      <c r="D73" s="27">
        <v>3</v>
      </c>
      <c r="E73" s="28">
        <v>31.97</v>
      </c>
      <c r="F73" s="29">
        <f t="shared" si="1"/>
        <v>95.91</v>
      </c>
    </row>
    <row r="74" spans="1:6">
      <c r="A74" s="25">
        <v>72</v>
      </c>
      <c r="B74" s="26" t="s">
        <v>400</v>
      </c>
      <c r="C74" s="25" t="s">
        <v>329</v>
      </c>
      <c r="D74" s="27"/>
      <c r="E74" s="28">
        <v>41.37</v>
      </c>
      <c r="F74" s="29">
        <f t="shared" si="1"/>
        <v>0</v>
      </c>
    </row>
    <row r="75" spans="1:6">
      <c r="A75" s="25">
        <v>73</v>
      </c>
      <c r="B75" s="26" t="s">
        <v>401</v>
      </c>
      <c r="C75" s="25" t="s">
        <v>329</v>
      </c>
      <c r="D75" s="27">
        <v>1</v>
      </c>
      <c r="E75" s="28">
        <v>56.37</v>
      </c>
      <c r="F75" s="29">
        <f t="shared" si="1"/>
        <v>56.37</v>
      </c>
    </row>
    <row r="76" spans="1:6">
      <c r="A76" s="25">
        <v>74</v>
      </c>
      <c r="B76" s="26" t="s">
        <v>402</v>
      </c>
      <c r="C76" s="25" t="s">
        <v>329</v>
      </c>
      <c r="D76" s="27"/>
      <c r="E76" s="28">
        <v>64.11</v>
      </c>
      <c r="F76" s="29">
        <f t="shared" si="1"/>
        <v>0</v>
      </c>
    </row>
    <row r="77" spans="1:6">
      <c r="A77" s="25">
        <v>75</v>
      </c>
      <c r="B77" s="26" t="s">
        <v>403</v>
      </c>
      <c r="C77" s="25" t="s">
        <v>329</v>
      </c>
      <c r="D77" s="27"/>
      <c r="E77" s="28">
        <v>47.71</v>
      </c>
      <c r="F77" s="29">
        <f t="shared" si="1"/>
        <v>0</v>
      </c>
    </row>
    <row r="78" spans="1:6">
      <c r="A78" s="25">
        <v>76</v>
      </c>
      <c r="B78" s="26" t="s">
        <v>404</v>
      </c>
      <c r="C78" s="25" t="s">
        <v>329</v>
      </c>
      <c r="D78" s="27">
        <v>1</v>
      </c>
      <c r="E78" s="28">
        <v>102.92</v>
      </c>
      <c r="F78" s="29">
        <f t="shared" si="1"/>
        <v>102.92</v>
      </c>
    </row>
    <row r="79" spans="1:6">
      <c r="A79" s="25">
        <v>77</v>
      </c>
      <c r="B79" s="26" t="s">
        <v>405</v>
      </c>
      <c r="C79" s="25" t="s">
        <v>329</v>
      </c>
      <c r="D79" s="27"/>
      <c r="E79" s="28">
        <v>74.38</v>
      </c>
      <c r="F79" s="29">
        <f t="shared" si="1"/>
        <v>0</v>
      </c>
    </row>
    <row r="80" spans="1:6">
      <c r="A80" s="25">
        <v>78</v>
      </c>
      <c r="B80" s="30" t="s">
        <v>406</v>
      </c>
      <c r="C80" s="25" t="s">
        <v>329</v>
      </c>
      <c r="D80" s="27"/>
      <c r="E80" s="28">
        <v>288.5</v>
      </c>
      <c r="F80" s="29">
        <f t="shared" si="1"/>
        <v>0</v>
      </c>
    </row>
    <row r="81" spans="1:6">
      <c r="A81" s="25">
        <v>79</v>
      </c>
      <c r="B81" s="30" t="s">
        <v>407</v>
      </c>
      <c r="C81" s="25" t="s">
        <v>329</v>
      </c>
      <c r="D81" s="27"/>
      <c r="E81" s="28">
        <v>98</v>
      </c>
      <c r="F81" s="29">
        <f t="shared" si="1"/>
        <v>0</v>
      </c>
    </row>
    <row r="82" spans="1:6">
      <c r="A82" s="25">
        <v>80</v>
      </c>
      <c r="B82" s="30" t="s">
        <v>408</v>
      </c>
      <c r="C82" s="25" t="s">
        <v>329</v>
      </c>
      <c r="D82" s="27"/>
      <c r="E82" s="28">
        <v>129.98</v>
      </c>
      <c r="F82" s="29">
        <f t="shared" si="1"/>
        <v>0</v>
      </c>
    </row>
    <row r="83" spans="1:6">
      <c r="A83" s="31" t="s">
        <v>327</v>
      </c>
      <c r="B83" s="31"/>
      <c r="C83" s="31"/>
      <c r="D83" s="31"/>
      <c r="E83" s="32">
        <f>TRUNC(SUM(F3:F82),2)</f>
        <v>2569.34</v>
      </c>
      <c r="F83" s="32"/>
    </row>
    <row r="84" spans="1:6">
      <c r="A84" s="31" t="s">
        <v>409</v>
      </c>
      <c r="B84" s="31"/>
      <c r="C84" s="31"/>
      <c r="D84" s="31"/>
      <c r="E84" s="31">
        <v>1</v>
      </c>
      <c r="F84" s="31"/>
    </row>
    <row r="85" spans="1:6">
      <c r="A85" s="31" t="s">
        <v>410</v>
      </c>
      <c r="B85" s="31"/>
      <c r="C85" s="31"/>
      <c r="D85" s="31"/>
      <c r="E85" s="32">
        <f>TRUNC((E83/E84)/12,2)</f>
        <v>214.11</v>
      </c>
      <c r="F85" s="32"/>
    </row>
    <row r="86" spans="1:6">
      <c r="A86" s="33"/>
      <c r="B86" s="33"/>
      <c r="C86" s="33"/>
      <c r="D86" s="34"/>
      <c r="E86" s="33"/>
      <c r="F86" s="33"/>
    </row>
    <row r="87" spans="1:6">
      <c r="A87" s="33"/>
      <c r="B87" s="33"/>
      <c r="C87" s="33"/>
      <c r="D87" s="34"/>
      <c r="E87" s="33"/>
      <c r="F87" s="33"/>
    </row>
    <row r="88" spans="1:6">
      <c r="A88" s="33"/>
      <c r="B88" s="33"/>
      <c r="C88" s="33"/>
      <c r="D88" s="34"/>
      <c r="E88" s="33"/>
      <c r="F88" s="33"/>
    </row>
    <row r="89" spans="1:6">
      <c r="A89" s="35" t="s">
        <v>411</v>
      </c>
      <c r="B89" s="35"/>
      <c r="C89" s="35"/>
      <c r="D89" s="36"/>
      <c r="E89" s="35"/>
      <c r="F89" s="35"/>
    </row>
    <row r="90" ht="27.6" spans="1:6">
      <c r="A90" s="37" t="s">
        <v>272</v>
      </c>
      <c r="B90" s="37" t="s">
        <v>274</v>
      </c>
      <c r="C90" s="37" t="s">
        <v>275</v>
      </c>
      <c r="D90" s="37" t="s">
        <v>326</v>
      </c>
      <c r="E90" s="38" t="s">
        <v>251</v>
      </c>
      <c r="F90" s="38" t="s">
        <v>327</v>
      </c>
    </row>
    <row r="91" spans="1:6">
      <c r="A91" s="25">
        <v>1</v>
      </c>
      <c r="B91" s="39" t="s">
        <v>412</v>
      </c>
      <c r="C91" s="25" t="s">
        <v>329</v>
      </c>
      <c r="D91" s="40">
        <v>1</v>
      </c>
      <c r="E91" s="28">
        <v>252.06</v>
      </c>
      <c r="F91" s="29">
        <f t="shared" ref="F91:F110" si="2">TRUNC(E91*D91,2)</f>
        <v>252.06</v>
      </c>
    </row>
    <row r="92" ht="27.6" spans="1:6">
      <c r="A92" s="25">
        <v>2</v>
      </c>
      <c r="B92" s="39" t="s">
        <v>413</v>
      </c>
      <c r="C92" s="25" t="s">
        <v>329</v>
      </c>
      <c r="D92" s="40">
        <v>1</v>
      </c>
      <c r="E92" s="28">
        <v>1636.81</v>
      </c>
      <c r="F92" s="29">
        <f t="shared" si="2"/>
        <v>1636.81</v>
      </c>
    </row>
    <row r="93" spans="1:6">
      <c r="A93" s="25">
        <v>3</v>
      </c>
      <c r="B93" s="39" t="s">
        <v>414</v>
      </c>
      <c r="C93" s="25" t="s">
        <v>329</v>
      </c>
      <c r="D93" s="40"/>
      <c r="E93" s="28">
        <v>211.12</v>
      </c>
      <c r="F93" s="29">
        <f t="shared" si="2"/>
        <v>0</v>
      </c>
    </row>
    <row r="94" spans="1:6">
      <c r="A94" s="25">
        <v>4</v>
      </c>
      <c r="B94" s="30" t="s">
        <v>415</v>
      </c>
      <c r="C94" s="25" t="s">
        <v>329</v>
      </c>
      <c r="D94" s="40"/>
      <c r="E94" s="28">
        <v>221.04</v>
      </c>
      <c r="F94" s="29">
        <f t="shared" si="2"/>
        <v>0</v>
      </c>
    </row>
    <row r="95" spans="1:6">
      <c r="A95" s="25">
        <v>5</v>
      </c>
      <c r="B95" s="30" t="s">
        <v>416</v>
      </c>
      <c r="C95" s="25" t="s">
        <v>329</v>
      </c>
      <c r="D95" s="40">
        <v>1</v>
      </c>
      <c r="E95" s="28">
        <v>178.67</v>
      </c>
      <c r="F95" s="29">
        <f t="shared" si="2"/>
        <v>178.67</v>
      </c>
    </row>
    <row r="96" spans="1:6">
      <c r="A96" s="25">
        <v>6</v>
      </c>
      <c r="B96" s="39" t="s">
        <v>417</v>
      </c>
      <c r="C96" s="25" t="s">
        <v>329</v>
      </c>
      <c r="D96" s="40"/>
      <c r="E96" s="28">
        <v>670.15</v>
      </c>
      <c r="F96" s="29">
        <f t="shared" si="2"/>
        <v>0</v>
      </c>
    </row>
    <row r="97" spans="1:6">
      <c r="A97" s="25">
        <v>7</v>
      </c>
      <c r="B97" s="39" t="s">
        <v>418</v>
      </c>
      <c r="C97" s="25" t="s">
        <v>329</v>
      </c>
      <c r="D97" s="40">
        <v>1</v>
      </c>
      <c r="E97" s="28">
        <v>284</v>
      </c>
      <c r="F97" s="29">
        <f t="shared" si="2"/>
        <v>284</v>
      </c>
    </row>
    <row r="98" spans="1:6">
      <c r="A98" s="25">
        <v>8</v>
      </c>
      <c r="B98" s="39" t="s">
        <v>419</v>
      </c>
      <c r="C98" s="25" t="s">
        <v>329</v>
      </c>
      <c r="D98" s="40"/>
      <c r="E98" s="28">
        <v>295.17</v>
      </c>
      <c r="F98" s="29">
        <f t="shared" si="2"/>
        <v>0</v>
      </c>
    </row>
    <row r="99" spans="1:6">
      <c r="A99" s="25">
        <v>9</v>
      </c>
      <c r="B99" s="30" t="s">
        <v>420</v>
      </c>
      <c r="C99" s="25" t="s">
        <v>329</v>
      </c>
      <c r="D99" s="40"/>
      <c r="E99" s="28">
        <v>323.61</v>
      </c>
      <c r="F99" s="29">
        <f t="shared" si="2"/>
        <v>0</v>
      </c>
    </row>
    <row r="100" spans="1:6">
      <c r="A100" s="25">
        <v>10</v>
      </c>
      <c r="B100" s="39" t="s">
        <v>421</v>
      </c>
      <c r="C100" s="25" t="s">
        <v>329</v>
      </c>
      <c r="D100" s="40"/>
      <c r="E100" s="28">
        <v>455.33</v>
      </c>
      <c r="F100" s="29">
        <f t="shared" si="2"/>
        <v>0</v>
      </c>
    </row>
    <row r="101" spans="1:6">
      <c r="A101" s="25">
        <v>11</v>
      </c>
      <c r="B101" s="30" t="s">
        <v>422</v>
      </c>
      <c r="C101" s="25" t="s">
        <v>329</v>
      </c>
      <c r="D101" s="40"/>
      <c r="E101" s="28">
        <v>351</v>
      </c>
      <c r="F101" s="29">
        <f t="shared" si="2"/>
        <v>0</v>
      </c>
    </row>
    <row r="102" spans="1:6">
      <c r="A102" s="25">
        <v>12</v>
      </c>
      <c r="B102" s="30" t="s">
        <v>423</v>
      </c>
      <c r="C102" s="25" t="s">
        <v>329</v>
      </c>
      <c r="D102" s="40"/>
      <c r="E102" s="28">
        <v>270</v>
      </c>
      <c r="F102" s="29">
        <f t="shared" si="2"/>
        <v>0</v>
      </c>
    </row>
    <row r="103" spans="1:6">
      <c r="A103" s="25">
        <v>13</v>
      </c>
      <c r="B103" s="39" t="s">
        <v>424</v>
      </c>
      <c r="C103" s="25" t="s">
        <v>329</v>
      </c>
      <c r="D103" s="40"/>
      <c r="E103" s="28">
        <v>457.22</v>
      </c>
      <c r="F103" s="29">
        <f t="shared" si="2"/>
        <v>0</v>
      </c>
    </row>
    <row r="104" spans="1:6">
      <c r="A104" s="25">
        <v>14</v>
      </c>
      <c r="B104" s="30" t="s">
        <v>425</v>
      </c>
      <c r="C104" s="25" t="s">
        <v>329</v>
      </c>
      <c r="D104" s="40"/>
      <c r="E104" s="28">
        <v>269.99</v>
      </c>
      <c r="F104" s="29">
        <f t="shared" si="2"/>
        <v>0</v>
      </c>
    </row>
    <row r="105" spans="1:6">
      <c r="A105" s="25">
        <v>15</v>
      </c>
      <c r="B105" s="39" t="s">
        <v>426</v>
      </c>
      <c r="C105" s="25" t="s">
        <v>329</v>
      </c>
      <c r="D105" s="40"/>
      <c r="E105" s="28">
        <v>1021.1</v>
      </c>
      <c r="F105" s="29">
        <f t="shared" si="2"/>
        <v>0</v>
      </c>
    </row>
    <row r="106" spans="1:6">
      <c r="A106" s="25">
        <v>16</v>
      </c>
      <c r="B106" s="30" t="s">
        <v>427</v>
      </c>
      <c r="C106" s="25" t="s">
        <v>329</v>
      </c>
      <c r="D106" s="40"/>
      <c r="E106" s="28">
        <v>174.28</v>
      </c>
      <c r="F106" s="29">
        <f t="shared" si="2"/>
        <v>0</v>
      </c>
    </row>
    <row r="107" spans="1:6">
      <c r="A107" s="25">
        <v>17</v>
      </c>
      <c r="B107" s="39" t="s">
        <v>428</v>
      </c>
      <c r="C107" s="25" t="s">
        <v>329</v>
      </c>
      <c r="D107" s="40"/>
      <c r="E107" s="28">
        <v>127.72</v>
      </c>
      <c r="F107" s="29">
        <f t="shared" si="2"/>
        <v>0</v>
      </c>
    </row>
    <row r="108" spans="1:6">
      <c r="A108" s="25">
        <v>18</v>
      </c>
      <c r="B108" s="30" t="s">
        <v>429</v>
      </c>
      <c r="C108" s="25" t="s">
        <v>329</v>
      </c>
      <c r="D108" s="40"/>
      <c r="E108" s="28">
        <v>241.42</v>
      </c>
      <c r="F108" s="29">
        <f t="shared" si="2"/>
        <v>0</v>
      </c>
    </row>
    <row r="109" spans="1:6">
      <c r="A109" s="25">
        <v>19</v>
      </c>
      <c r="B109" s="30" t="s">
        <v>430</v>
      </c>
      <c r="C109" s="25" t="s">
        <v>329</v>
      </c>
      <c r="D109" s="40"/>
      <c r="E109" s="28">
        <v>217.7</v>
      </c>
      <c r="F109" s="29">
        <f t="shared" si="2"/>
        <v>0</v>
      </c>
    </row>
    <row r="110" spans="1:6">
      <c r="A110" s="25">
        <v>20</v>
      </c>
      <c r="B110" s="30" t="s">
        <v>431</v>
      </c>
      <c r="C110" s="25" t="s">
        <v>329</v>
      </c>
      <c r="D110" s="40"/>
      <c r="E110" s="28">
        <v>170.81</v>
      </c>
      <c r="F110" s="29">
        <f t="shared" si="2"/>
        <v>0</v>
      </c>
    </row>
    <row r="111" spans="1:6">
      <c r="A111" s="41" t="s">
        <v>58</v>
      </c>
      <c r="B111" s="42"/>
      <c r="C111" s="43"/>
      <c r="D111" s="34"/>
      <c r="E111" s="43"/>
      <c r="F111" s="44">
        <f>SUBTOTAL(109,Table44[VALOR TOTAL])</f>
        <v>2351.54</v>
      </c>
    </row>
    <row r="112" spans="1:6">
      <c r="A112" s="45" t="s">
        <v>432</v>
      </c>
      <c r="B112" s="46"/>
      <c r="C112" s="46"/>
      <c r="D112" s="47"/>
      <c r="E112" s="48"/>
      <c r="F112" s="49">
        <f>Table44[[#Totals],[VALOR TOTAL]]*0.5%</f>
        <v>11.7577</v>
      </c>
    </row>
    <row r="113" spans="1:6">
      <c r="A113" s="50" t="s">
        <v>433</v>
      </c>
      <c r="B113" s="50"/>
      <c r="C113" s="50"/>
      <c r="D113" s="51"/>
      <c r="E113" s="50"/>
      <c r="F113" s="52">
        <f>Table44[[#Totals],[VALOR TOTAL]]*(1-0.2)/(12*8)</f>
        <v>19.5961666666667</v>
      </c>
    </row>
    <row r="114" spans="1:6">
      <c r="A114" s="50" t="s">
        <v>434</v>
      </c>
      <c r="B114" s="50"/>
      <c r="C114" s="50"/>
      <c r="D114" s="51"/>
      <c r="E114" s="50"/>
      <c r="F114" s="52">
        <f>F112+F113</f>
        <v>31.3538666666667</v>
      </c>
    </row>
    <row r="115" spans="1:6">
      <c r="A115" s="50" t="s">
        <v>409</v>
      </c>
      <c r="B115" s="50"/>
      <c r="C115" s="50"/>
      <c r="D115" s="51"/>
      <c r="E115" s="50"/>
      <c r="F115" s="53">
        <v>1</v>
      </c>
    </row>
    <row r="116" spans="1:6">
      <c r="A116" s="50" t="s">
        <v>410</v>
      </c>
      <c r="B116" s="50"/>
      <c r="C116" s="50"/>
      <c r="D116" s="51"/>
      <c r="E116" s="50"/>
      <c r="F116" s="52">
        <f>TRUNC(F114/F115,2)</f>
        <v>31.35</v>
      </c>
    </row>
    <row r="117" spans="1:6">
      <c r="A117" s="54"/>
      <c r="B117" s="54"/>
      <c r="C117" s="54"/>
      <c r="D117" s="55"/>
      <c r="E117" s="54"/>
      <c r="F117" s="54"/>
    </row>
    <row r="118" spans="1:6">
      <c r="A118" s="56" t="s">
        <v>435</v>
      </c>
      <c r="B118" s="57"/>
      <c r="C118" s="57"/>
      <c r="D118" s="58"/>
      <c r="E118" s="57"/>
      <c r="F118" s="57"/>
    </row>
    <row r="119" spans="1:6">
      <c r="A119" s="57"/>
      <c r="B119" s="57"/>
      <c r="C119" s="57"/>
      <c r="D119" s="58"/>
      <c r="E119" s="57"/>
      <c r="F119" s="57"/>
    </row>
    <row r="120" spans="1:6">
      <c r="A120" s="57"/>
      <c r="B120" s="57"/>
      <c r="C120" s="57"/>
      <c r="D120" s="58"/>
      <c r="E120" s="57"/>
      <c r="F120" s="57"/>
    </row>
    <row r="121" spans="1:6">
      <c r="A121" s="57"/>
      <c r="B121" s="57"/>
      <c r="C121" s="57"/>
      <c r="D121" s="58"/>
      <c r="E121" s="57"/>
      <c r="F121" s="57"/>
    </row>
    <row r="122" spans="1:6">
      <c r="A122" s="57"/>
      <c r="B122" s="57"/>
      <c r="C122" s="57"/>
      <c r="D122" s="58"/>
      <c r="E122" s="57"/>
      <c r="F122" s="57"/>
    </row>
    <row r="123" spans="1:6">
      <c r="A123" s="57"/>
      <c r="B123" s="57"/>
      <c r="C123" s="57"/>
      <c r="D123" s="58"/>
      <c r="E123" s="57"/>
      <c r="F123" s="57"/>
    </row>
    <row r="124" spans="1:6">
      <c r="A124" s="57"/>
      <c r="B124" s="57"/>
      <c r="C124" s="57"/>
      <c r="D124" s="58"/>
      <c r="E124" s="57"/>
      <c r="F124" s="57"/>
    </row>
    <row r="125" spans="1:6">
      <c r="A125" s="57"/>
      <c r="B125" s="57"/>
      <c r="C125" s="57"/>
      <c r="D125" s="58"/>
      <c r="E125" s="57"/>
      <c r="F125" s="57"/>
    </row>
    <row r="126" spans="1:6">
      <c r="A126" s="57"/>
      <c r="B126" s="57"/>
      <c r="C126" s="57"/>
      <c r="D126" s="58"/>
      <c r="E126" s="57"/>
      <c r="F126" s="57"/>
    </row>
    <row r="127" spans="1:6">
      <c r="A127" s="57"/>
      <c r="B127" s="57"/>
      <c r="C127" s="57"/>
      <c r="D127" s="58"/>
      <c r="E127" s="57"/>
      <c r="F127" s="57"/>
    </row>
    <row r="128" spans="1:6">
      <c r="A128" s="33"/>
      <c r="B128" s="33"/>
      <c r="C128" s="33"/>
      <c r="D128" s="34"/>
      <c r="E128" s="33"/>
      <c r="F128" s="33"/>
    </row>
    <row r="129" spans="1:6">
      <c r="A129" s="33"/>
      <c r="B129" s="33"/>
      <c r="C129" s="33"/>
      <c r="D129" s="34"/>
      <c r="E129" s="33"/>
      <c r="F129" s="33"/>
    </row>
    <row r="130" spans="4:4">
      <c r="D130" s="59"/>
    </row>
    <row r="131" spans="1:7">
      <c r="A131" s="60" t="s">
        <v>436</v>
      </c>
      <c r="B131" s="60"/>
      <c r="C131" s="60" t="s">
        <v>156</v>
      </c>
      <c r="D131" s="61"/>
      <c r="E131" s="60"/>
      <c r="F131" s="60"/>
      <c r="G131" s="60"/>
    </row>
    <row r="132" ht="57.6" spans="1:7">
      <c r="A132" s="4" t="s">
        <v>16</v>
      </c>
      <c r="B132" s="4" t="s">
        <v>437</v>
      </c>
      <c r="C132" s="4" t="s">
        <v>17</v>
      </c>
      <c r="D132" s="62" t="s">
        <v>438</v>
      </c>
      <c r="E132" s="4" t="s">
        <v>439</v>
      </c>
      <c r="F132" s="4" t="s">
        <v>440</v>
      </c>
      <c r="G132" s="4" t="s">
        <v>441</v>
      </c>
    </row>
    <row r="133" ht="57.6" spans="1:7">
      <c r="A133" s="62">
        <v>1</v>
      </c>
      <c r="B133" s="62" t="s">
        <v>442</v>
      </c>
      <c r="C133" s="63" t="s">
        <v>443</v>
      </c>
      <c r="D133" s="64">
        <v>64.34</v>
      </c>
      <c r="E133" s="65">
        <v>1</v>
      </c>
      <c r="F133" s="66">
        <f>Table43_2[[#This Row],[Quantidade Anual]]*Table43_2[[#This Row],[Valor Médio Unitário (R$)]]/2</f>
        <v>32.17</v>
      </c>
      <c r="G133" s="66">
        <f>Table43_2[[#This Row],[Valor Anual/ Empregado (R$)]]/12</f>
        <v>2.68083333333333</v>
      </c>
    </row>
    <row r="134" ht="86.4" spans="1:7">
      <c r="A134" s="62">
        <v>2</v>
      </c>
      <c r="B134" s="62" t="s">
        <v>444</v>
      </c>
      <c r="C134" s="63" t="s">
        <v>445</v>
      </c>
      <c r="D134" s="67">
        <v>1.44</v>
      </c>
      <c r="E134" s="65">
        <v>4</v>
      </c>
      <c r="F134" s="66">
        <f>Table43_2[[#This Row],[Quantidade Anual]]*Table43_2[[#This Row],[Valor Médio Unitário (R$)]]/2</f>
        <v>2.88</v>
      </c>
      <c r="G134" s="66">
        <f>Table43_2[[#This Row],[Valor Anual/ Empregado (R$)]]/12</f>
        <v>0.24</v>
      </c>
    </row>
    <row r="135" ht="57.6" spans="1:7">
      <c r="A135" s="62">
        <v>3</v>
      </c>
      <c r="B135" s="68" t="s">
        <v>446</v>
      </c>
      <c r="C135" s="63" t="s">
        <v>447</v>
      </c>
      <c r="D135" s="67">
        <v>43.9</v>
      </c>
      <c r="E135" s="65">
        <v>1</v>
      </c>
      <c r="F135" s="66">
        <f>Table43_2[[#This Row],[Quantidade Anual]]*Table43_2[[#This Row],[Valor Médio Unitário (R$)]]/2</f>
        <v>21.95</v>
      </c>
      <c r="G135" s="66">
        <f>Table43_2[[#This Row],[Valor Anual/ Empregado (R$)]]/12</f>
        <v>1.82916666666667</v>
      </c>
    </row>
    <row r="136" spans="1:7">
      <c r="A136" s="5" t="s">
        <v>58</v>
      </c>
      <c r="B136" s="5"/>
      <c r="C136" s="5"/>
      <c r="D136" s="69"/>
      <c r="E136" s="5"/>
      <c r="F136" s="5"/>
      <c r="G136" s="70">
        <f>SUBTOTAL(109,Table43_2[Valor Mensal/ Empregado])</f>
        <v>4.75</v>
      </c>
    </row>
    <row r="137" spans="4:4">
      <c r="D137" s="59"/>
    </row>
  </sheetData>
  <mergeCells count="15">
    <mergeCell ref="A1:F1"/>
    <mergeCell ref="A83:D83"/>
    <mergeCell ref="E83:F83"/>
    <mergeCell ref="A84:D84"/>
    <mergeCell ref="E84:F84"/>
    <mergeCell ref="A85:D85"/>
    <mergeCell ref="E85:F85"/>
    <mergeCell ref="A89:F89"/>
    <mergeCell ref="A112:E112"/>
    <mergeCell ref="A113:E113"/>
    <mergeCell ref="A114:E114"/>
    <mergeCell ref="A115:E115"/>
    <mergeCell ref="A116:E116"/>
    <mergeCell ref="A131:G131"/>
    <mergeCell ref="A118:F127"/>
  </mergeCells>
  <pageMargins left="0.75" right="0.75" top="1" bottom="1" header="0.5" footer="0.5"/>
  <pageSetup paperSize="9" orientation="portrait"/>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11</vt:i4>
      </vt:variant>
    </vt:vector>
  </HeadingPairs>
  <TitlesOfParts>
    <vt:vector size="11" baseType="lpstr">
      <vt:lpstr>Orientações</vt:lpstr>
      <vt:lpstr>Servente</vt:lpstr>
      <vt:lpstr>Auxiliar Administrativo</vt:lpstr>
      <vt:lpstr>Portaria</vt:lpstr>
      <vt:lpstr>Motorista Interestadual</vt:lpstr>
      <vt:lpstr>Eletricista</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rayan</cp:lastModifiedBy>
  <cp:revision>3</cp:revision>
  <dcterms:created xsi:type="dcterms:W3CDTF">2019-02-19T21:25:00Z</dcterms:created>
  <cp:lastPrinted>2020-02-20T19:26:00Z</cp:lastPrinted>
  <dcterms:modified xsi:type="dcterms:W3CDTF">2021-07-26T20:28:05Z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1046-11.2.0.10223</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